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tabRatio="972" firstSheet="1" activeTab="2"/>
  </bookViews>
  <sheets>
    <sheet name="สรุป" sheetId="1" state="hidden" r:id="rId1"/>
    <sheet name="สรุปงบ(ปรับแผนโครงยุทธศาสตร์ )" sheetId="2" r:id="rId2"/>
    <sheet name="โครงยุทธศาสตร์" sheetId="3" r:id="rId3"/>
    <sheet name="สรุปงบ(ปรับแผนโครงประจำ ) (2)" sheetId="4" r:id="rId4"/>
    <sheet name="โครงประจำ" sheetId="5" r:id="rId5"/>
    <sheet name="1-บริหาร(1)" sheetId="6" state="hidden" r:id="rId6"/>
    <sheet name="2-พยส(1)" sheetId="7" state="hidden" r:id="rId7"/>
    <sheet name="3-ทรัพฯ(1)" sheetId="8" state="hidden" r:id="rId8"/>
    <sheet name="4-นิติการ(1)" sheetId="9" state="hidden" r:id="rId9"/>
    <sheet name="5-คุ้มครอง(1)" sheetId="10" state="hidden" r:id="rId10"/>
    <sheet name="6-คุณภาพ(1)" sheetId="11" state="hidden" r:id="rId11"/>
    <sheet name="7-ประกัน(1)" sheetId="12" state="hidden" r:id="rId12"/>
    <sheet name="8-ควบคุมโรค(1)" sheetId="13" state="hidden" r:id="rId13"/>
    <sheet name="9-ส่งเสริม(1)" sheetId="14" state="hidden" r:id="rId14"/>
    <sheet name="10-ทันตฯ(1)" sheetId="15" state="hidden" r:id="rId15"/>
    <sheet name="11-อน(1)" sheetId="16" state="hidden" r:id="rId16"/>
    <sheet name="12-NCD(1)" sheetId="17" state="hidden" r:id="rId17"/>
    <sheet name="13-แผนไทย(1)" sheetId="18" state="hidden" r:id="rId18"/>
    <sheet name="14-ตรวจสอบภายใน(1)" sheetId="19" state="hidden" r:id="rId19"/>
    <sheet name="สรุป (2)" sheetId="20" state="hidden" r:id="rId20"/>
  </sheets>
  <definedNames>
    <definedName name="OLE_LINK1" localSheetId="6">'2-พยส(1)'!$A$26</definedName>
    <definedName name="_xlnm.Print_Area" localSheetId="14">'10-ทันตฯ(1)'!$A$1:$U$26</definedName>
    <definedName name="_xlnm.Print_Area" localSheetId="16">'12-NCD(1)'!$A$1:$U$279</definedName>
    <definedName name="_xlnm.Print_Area" localSheetId="17">'13-แผนไทย(1)'!$A$1:$U$61</definedName>
    <definedName name="_xlnm.Print_Area" localSheetId="18">'14-ตรวจสอบภายใน(1)'!$A$1:$U$9</definedName>
    <definedName name="_xlnm.Print_Area" localSheetId="5">'1-บริหาร(1)'!$A$1:$U$41</definedName>
    <definedName name="_xlnm.Print_Area" localSheetId="6">'2-พยส(1)'!$A$1:$U$48</definedName>
    <definedName name="_xlnm.Print_Area" localSheetId="7">'3-ทรัพฯ(1)'!$A$1:$U$19</definedName>
    <definedName name="_xlnm.Print_Area" localSheetId="8">'4-นิติการ(1)'!$A$1:$U$53</definedName>
    <definedName name="_xlnm.Print_Area" localSheetId="9">'5-คุ้มครอง(1)'!$A$1:$U$102</definedName>
    <definedName name="_xlnm.Print_Area" localSheetId="10">'6-คุณภาพ(1)'!$A$1:$U$89</definedName>
    <definedName name="_xlnm.Print_Area" localSheetId="11">'7-ประกัน(1)'!$A$1:$U$66</definedName>
    <definedName name="_xlnm.Print_Area" localSheetId="12">'8-ควบคุมโรค(1)'!$A$1:$U$123</definedName>
    <definedName name="_xlnm.Print_Area" localSheetId="13">'9-ส่งเสริม(1)'!$A$1:$U$31</definedName>
    <definedName name="_xlnm.Print_Area" localSheetId="4">'โครงประจำ'!$A$1:$G$2</definedName>
    <definedName name="_xlnm.Print_Area" localSheetId="2">'โครงยุทธศาสตร์'!$A$1:$G$14</definedName>
    <definedName name="_xlnm.Print_Area" localSheetId="0">'สรุป'!$A$1:$AI$18</definedName>
    <definedName name="_xlnm.Print_Titles" localSheetId="14">'10-ทันตฯ(1)'!$4:$6</definedName>
    <definedName name="_xlnm.Print_Titles" localSheetId="15">'11-อน(1)'!$4:$6</definedName>
    <definedName name="_xlnm.Print_Titles" localSheetId="16">'12-NCD(1)'!$4:$6</definedName>
    <definedName name="_xlnm.Print_Titles" localSheetId="17">'13-แผนไทย(1)'!$4:$6</definedName>
    <definedName name="_xlnm.Print_Titles" localSheetId="18">'14-ตรวจสอบภายใน(1)'!$3:$5</definedName>
    <definedName name="_xlnm.Print_Titles" localSheetId="5">'1-บริหาร(1)'!$4:$6</definedName>
    <definedName name="_xlnm.Print_Titles" localSheetId="6">'2-พยส(1)'!$3:$5</definedName>
    <definedName name="_xlnm.Print_Titles" localSheetId="7">'3-ทรัพฯ(1)'!$1:$5</definedName>
    <definedName name="_xlnm.Print_Titles" localSheetId="8">'4-นิติการ(1)'!$3:$5</definedName>
    <definedName name="_xlnm.Print_Titles" localSheetId="9">'5-คุ้มครอง(1)'!$4:$6</definedName>
    <definedName name="_xlnm.Print_Titles" localSheetId="10">'6-คุณภาพ(1)'!$4:$6</definedName>
    <definedName name="_xlnm.Print_Titles" localSheetId="11">'7-ประกัน(1)'!$3:$5</definedName>
    <definedName name="_xlnm.Print_Titles" localSheetId="12">'8-ควบคุมโรค(1)'!$4:$6</definedName>
    <definedName name="_xlnm.Print_Titles" localSheetId="13">'9-ส่งเสริม(1)'!$4:$6</definedName>
    <definedName name="_xlnm.Print_Titles" localSheetId="4">'โครงประจำ'!$1:$2</definedName>
    <definedName name="_xlnm.Print_Titles" localSheetId="2">'โครงยุทธศาสตร์'!$1:$2</definedName>
    <definedName name="_xlnm.Print_Titles" localSheetId="0">'สรุป'!$A:$B,'สรุป'!$2:$3</definedName>
    <definedName name="_xlnm.Print_Titles" localSheetId="19">'สรุป (2)'!$A:$B</definedName>
  </definedNames>
  <calcPr fullCalcOnLoad="1"/>
</workbook>
</file>

<file path=xl/comments1.xml><?xml version="1.0" encoding="utf-8"?>
<comments xmlns="http://schemas.openxmlformats.org/spreadsheetml/2006/main">
  <authors>
    <author>SOR</author>
  </authors>
  <commentList>
    <comment ref="G12" authorId="0">
      <text>
        <r>
          <rPr>
            <b/>
            <sz val="9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<sst xmlns="http://schemas.openxmlformats.org/spreadsheetml/2006/main" count="2652" uniqueCount="1603">
  <si>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</si>
  <si>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</si>
  <si>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</si>
  <si>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</si>
  <si>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</si>
  <si>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</si>
  <si>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</si>
  <si>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</si>
  <si>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</si>
  <si>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</si>
  <si>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</si>
  <si>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</si>
  <si>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</si>
  <si>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</si>
  <si>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</si>
  <si>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</si>
  <si>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</si>
  <si>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</si>
  <si>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</si>
  <si>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</si>
  <si>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</si>
  <si>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</si>
  <si>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</si>
  <si>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</si>
  <si>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</si>
  <si>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</si>
  <si>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</si>
  <si>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</si>
  <si>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</si>
  <si>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</si>
  <si>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</si>
  <si>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</si>
  <si>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</si>
  <si>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</si>
  <si>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</si>
  <si>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</si>
  <si>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</si>
  <si>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</si>
  <si>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</si>
  <si>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</si>
  <si>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</si>
  <si>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</si>
  <si>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</si>
  <si>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</si>
  <si>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</si>
  <si>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</si>
  <si>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</si>
  <si>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</si>
  <si>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</si>
  <si>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</si>
  <si>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</si>
  <si>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</si>
  <si>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</si>
  <si>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</si>
  <si>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</si>
  <si>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</si>
  <si>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</si>
  <si>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</si>
  <si>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</si>
  <si>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</si>
  <si>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</si>
  <si>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</si>
  <si>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</si>
  <si>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</si>
  <si>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</si>
  <si>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</si>
  <si>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</si>
  <si>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</si>
  <si>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</si>
  <si>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</si>
  <si>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</si>
  <si>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</si>
  <si>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</si>
  <si>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</si>
  <si>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</si>
  <si>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</si>
  <si>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</si>
  <si>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</si>
  <si>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</si>
  <si>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</si>
  <si>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</si>
  <si>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</si>
  <si>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</si>
  <si>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</si>
  <si>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</si>
  <si>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</si>
  <si>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</si>
  <si>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</si>
  <si>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</si>
  <si>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</si>
  <si>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</si>
  <si>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</si>
  <si>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</si>
  <si>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</si>
  <si>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</si>
  <si>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</si>
  <si>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</si>
  <si>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</si>
  <si>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</si>
  <si>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</si>
  <si>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</si>
  <si>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</si>
  <si>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</si>
  <si>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</si>
  <si>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</si>
  <si>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</si>
  <si>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</si>
  <si>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</si>
  <si>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</si>
  <si>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</si>
  <si>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</si>
  <si>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</si>
  <si>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</si>
  <si>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</si>
  <si>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</si>
  <si>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</si>
  <si>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</si>
  <si>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</si>
  <si>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</si>
  <si>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</si>
  <si>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</si>
  <si>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</si>
  <si>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</si>
  <si>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</si>
  <si>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</si>
  <si>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</si>
  <si>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</si>
  <si>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</si>
  <si>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</si>
  <si>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</si>
  <si>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</si>
  <si>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</si>
  <si>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</si>
  <si>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</si>
  <si>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</si>
  <si>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</si>
  <si>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</si>
  <si>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</si>
  <si>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</si>
  <si>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</si>
  <si>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</si>
  <si>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</si>
  <si>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</si>
  <si>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</si>
  <si>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</si>
  <si>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</si>
  <si>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</si>
  <si>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</si>
  <si>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</si>
  <si>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</si>
  <si>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</si>
  <si>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</si>
  <si>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</si>
  <si>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</si>
  <si>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</si>
  <si>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</si>
  <si>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</si>
  <si>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</si>
  <si>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</si>
  <si>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</si>
  <si>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</si>
  <si>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</si>
  <si>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</si>
  <si>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</si>
  <si>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</si>
  <si>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</si>
  <si>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</si>
  <si>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</si>
  <si>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</si>
  <si>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</si>
  <si>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</si>
  <si>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</si>
  <si>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</si>
  <si>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</si>
  <si>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</si>
  <si>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</si>
  <si>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</si>
  <si>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</si>
  <si>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</si>
  <si>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</si>
  <si>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</si>
  <si>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</si>
  <si>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</si>
  <si>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</si>
  <si>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</si>
  <si>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</si>
  <si>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</si>
  <si>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</si>
  <si>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</si>
  <si>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</si>
  <si>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</si>
  <si>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</si>
  <si>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</si>
  <si>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</si>
  <si>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</si>
  <si>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</si>
  <si>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</si>
  <si>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</si>
  <si>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</si>
  <si>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</si>
  <si>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</si>
  <si>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</si>
  <si>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</si>
  <si>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</si>
  <si>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</si>
  <si>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</si>
  <si>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</si>
  <si>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</si>
  <si>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</si>
  <si>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</si>
  <si>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</si>
  <si>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</si>
  <si>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</si>
  <si>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</si>
  <si>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</si>
  <si>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</si>
  <si>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</si>
  <si>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</si>
  <si>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</si>
  <si>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</si>
  <si>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</si>
  <si>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</si>
  <si>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</si>
  <si>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</si>
  <si>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</si>
  <si>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</si>
  <si>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</si>
  <si>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</si>
  <si>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</si>
  <si>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</si>
  <si>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</si>
  <si>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</si>
  <si>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</si>
  <si>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</si>
  <si>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</si>
  <si>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</si>
  <si>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</si>
  <si>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</si>
  <si>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</si>
  <si>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</si>
  <si>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</si>
  <si>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</si>
  <si>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</si>
  <si>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</si>
  <si>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</si>
  <si>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</si>
  <si>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</si>
  <si>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</si>
  <si>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</si>
  <si>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</si>
  <si>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</si>
  <si>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</si>
  <si>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</si>
  <si>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</si>
  <si>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</si>
  <si>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</si>
  <si>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</si>
  <si>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</si>
  <si>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</si>
  <si>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</si>
  <si>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</si>
  <si>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</si>
  <si>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</si>
  <si>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</si>
  <si>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</si>
  <si>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</si>
  <si>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</si>
  <si>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</si>
  <si>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</si>
  <si>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</si>
  <si>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</si>
  <si>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</si>
  <si>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</si>
  <si>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</si>
  <si>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</si>
  <si>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</si>
  <si>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</si>
  <si>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</si>
  <si>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</si>
  <si>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</si>
  <si>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</si>
  <si>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</si>
  <si>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</si>
  <si>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</si>
  <si>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</si>
  <si>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</si>
  <si>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</si>
  <si>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</si>
  <si>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</si>
  <si>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</si>
  <si>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</si>
  <si>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</si>
  <si>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</si>
  <si>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</si>
  <si>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</si>
  <si>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</si>
  <si>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</si>
  <si>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</si>
  <si>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</si>
  <si>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</si>
  <si>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</si>
  <si>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</si>
  <si>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</si>
  <si>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</si>
  <si>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</si>
  <si>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</si>
  <si>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</si>
  <si>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</si>
  <si>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</si>
  <si>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</si>
  <si>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</si>
  <si>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</si>
  <si>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</si>
  <si>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</si>
  <si>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</si>
  <si>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</si>
  <si>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</si>
  <si>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</si>
  <si>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</si>
  <si>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</si>
  <si>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</si>
  <si>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</si>
  <si>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</si>
  <si>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</si>
  <si>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</si>
  <si>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</si>
  <si>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</si>
  <si>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</si>
  <si>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</si>
  <si>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</si>
  <si>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</si>
  <si>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</si>
  <si>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</si>
  <si>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</si>
  <si>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</si>
  <si>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</si>
  <si>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</si>
  <si>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</si>
  <si>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</si>
  <si>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</si>
  <si>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</si>
  <si>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</si>
  <si>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</si>
  <si>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</si>
  <si>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</si>
  <si>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</si>
  <si>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</si>
  <si>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</si>
  <si>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</si>
  <si>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</si>
  <si>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</si>
  <si>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</si>
  <si>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</si>
  <si>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</si>
  <si>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</si>
  <si>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</si>
  <si>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</si>
  <si>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</si>
  <si>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</si>
  <si>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</si>
  <si>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</si>
  <si>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</si>
  <si>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</si>
  <si>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</si>
  <si>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</si>
  <si>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</si>
  <si>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</si>
  <si>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</si>
  <si>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</si>
  <si>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</si>
  <si>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</si>
  <si>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</si>
  <si>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</si>
  <si>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</si>
  <si>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</si>
  <si>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</si>
  <si>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</si>
  <si>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</si>
  <si>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</si>
  <si>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</si>
  <si>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</si>
  <si>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</si>
  <si>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</si>
  <si>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</si>
  <si>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</si>
  <si>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</si>
  <si>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</si>
  <si>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</si>
  <si>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</si>
  <si>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</si>
  <si>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</si>
  <si>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</si>
  <si>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</si>
  <si>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</si>
  <si>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</si>
  <si>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</si>
  <si>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</si>
  <si>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</si>
  <si>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</si>
  <si>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</si>
  <si>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</si>
  <si>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</si>
  <si>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</si>
  <si>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</si>
  <si>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</si>
  <si>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</si>
  <si>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</si>
  <si>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</si>
  <si>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</si>
  <si>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</si>
  <si>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</si>
  <si>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</si>
  <si>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</si>
  <si>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</si>
  <si>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</si>
  <si>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</si>
  <si>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</si>
  <si>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</si>
  <si>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</si>
  <si>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</si>
  <si>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</si>
  <si>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</si>
  <si>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</si>
  <si>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</si>
  <si>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</si>
  <si>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</si>
  <si>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</si>
  <si>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</si>
  <si>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</si>
  <si>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</si>
  <si>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</si>
  <si>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</si>
  <si>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</si>
  <si>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</si>
  <si>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</si>
  <si>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</si>
  <si>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</si>
  <si>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</si>
  <si>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</si>
  <si>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</si>
  <si>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</si>
  <si>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</si>
  <si>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</si>
  <si>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</si>
  <si>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</si>
  <si>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</si>
  <si>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</si>
  <si>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</si>
  <si>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</si>
  <si>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</si>
  <si>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</si>
  <si>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</si>
  <si>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</si>
  <si>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</si>
  <si>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</si>
  <si>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</si>
  <si>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</si>
  <si>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</si>
  <si>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</si>
  <si>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</si>
  <si>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</si>
  <si>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</si>
  <si>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</si>
  <si>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</si>
  <si>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</si>
  <si>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</si>
  <si>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</si>
  <si>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</si>
  <si>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</si>
  <si>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</si>
  <si>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</si>
  <si>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</si>
  <si>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</si>
  <si>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</si>
  <si>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</si>
  <si>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</si>
  <si>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</si>
  <si>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</si>
  <si>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</si>
  <si>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</si>
  <si>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</si>
  <si>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</si>
  <si>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</si>
  <si>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</si>
  <si>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</si>
  <si>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</si>
  <si>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</si>
  <si>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</si>
  <si>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</si>
  <si>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</si>
  <si>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</si>
  <si>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</si>
  <si>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</si>
  <si>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</si>
  <si>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</si>
  <si>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</si>
  <si>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</si>
  <si>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</si>
  <si>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</si>
  <si>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</si>
  <si>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</si>
  <si>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</si>
  <si>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</si>
  <si>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</si>
  <si>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</si>
  <si>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</si>
  <si>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</si>
  <si>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</si>
  <si>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</si>
  <si>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</si>
  <si>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</si>
  <si>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</si>
  <si>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</si>
  <si>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</si>
  <si>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</si>
  <si>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</si>
  <si>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</si>
  <si>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</si>
  <si>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</si>
  <si>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</si>
  <si>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</si>
  <si>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</si>
  <si>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</si>
  <si>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</si>
  <si>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</si>
  <si>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</si>
  <si>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</si>
  <si>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</si>
  <si>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</si>
  <si>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</si>
  <si>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</si>
  <si>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</si>
  <si>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</si>
  <si>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</si>
  <si>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</si>
  <si>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</si>
  <si>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</si>
  <si>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</si>
  <si>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</si>
  <si>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</si>
  <si>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</si>
  <si>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</si>
  <si>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</si>
  <si>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</si>
  <si>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</si>
  <si>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</si>
  <si>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</si>
  <si>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</si>
  <si>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</si>
  <si>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</si>
  <si>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</si>
  <si>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</si>
  <si>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</si>
  <si>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</si>
  <si>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</si>
  <si>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</si>
  <si>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</si>
  <si>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</si>
  <si>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</si>
  <si>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</si>
  <si>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</si>
  <si>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</si>
  <si>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</si>
  <si>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</si>
  <si>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</si>
  <si>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</si>
  <si>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</si>
  <si>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</si>
  <si>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</si>
  <si>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</si>
  <si>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</si>
  <si>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</si>
  <si>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</si>
  <si>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</si>
  <si>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</si>
  <si>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</si>
  <si>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</si>
  <si>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</si>
  <si>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</si>
  <si>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</si>
  <si>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</si>
  <si>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</si>
  <si>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</si>
  <si>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</si>
  <si>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</si>
  <si>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</si>
  <si>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</si>
  <si>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</si>
  <si>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</si>
  <si>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</si>
  <si>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</si>
  <si>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</si>
  <si>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</si>
  <si>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</si>
  <si>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</si>
  <si>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</si>
  <si>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</si>
  <si>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</si>
  <si>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</si>
  <si>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</si>
  <si>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</si>
  <si>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</si>
  <si>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</si>
  <si>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</si>
  <si>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</si>
  <si>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</si>
  <si>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</si>
  <si>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</si>
  <si>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</si>
  <si>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</si>
  <si>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</si>
  <si>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</si>
  <si>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</si>
  <si>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</si>
  <si>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</si>
  <si>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</si>
  <si>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</si>
  <si>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</si>
  <si>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</si>
  <si>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</si>
  <si>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</si>
  <si>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</si>
  <si>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</si>
  <si>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</si>
  <si>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</si>
  <si>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</si>
  <si>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</si>
  <si>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</si>
  <si>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</si>
  <si>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</si>
  <si>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</si>
  <si>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</si>
  <si>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</si>
  <si>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</si>
  <si>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</si>
  <si>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</si>
  <si>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</si>
  <si>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</si>
  <si>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</si>
  <si>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</si>
  <si>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</si>
  <si>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</si>
  <si>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</si>
  <si>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</si>
  <si>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</si>
  <si>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</si>
  <si>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</si>
  <si>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</si>
  <si>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</si>
  <si>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</si>
  <si>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</si>
  <si>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</si>
  <si>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</si>
  <si>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</si>
  <si>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</si>
  <si>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</si>
  <si>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</si>
  <si>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</si>
  <si>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</si>
  <si>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</si>
  <si>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</si>
  <si>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</si>
  <si>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</si>
  <si>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</si>
  <si>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</si>
  <si>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</si>
  <si>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</si>
  <si>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</si>
  <si>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</si>
  <si>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</si>
  <si>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</si>
  <si>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</si>
  <si>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</si>
  <si>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</si>
  <si>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</si>
  <si>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</si>
  <si>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</si>
  <si>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</si>
  <si>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</si>
  <si>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</si>
  <si>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</si>
  <si>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</si>
  <si>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</si>
  <si>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</si>
  <si>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</si>
  <si>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</si>
  <si>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</si>
  <si>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</si>
  <si>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</si>
  <si>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</si>
  <si>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</si>
  <si>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</si>
  <si>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</si>
  <si>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</si>
  <si>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</si>
  <si>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</si>
  <si>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</si>
  <si>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</si>
  <si>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</si>
  <si>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</si>
  <si>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</si>
  <si>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</si>
  <si>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</si>
  <si>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</si>
  <si>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</si>
  <si>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</si>
  <si>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</si>
  <si>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</si>
  <si>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</si>
  <si>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</si>
  <si>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</si>
  <si>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</si>
  <si>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</si>
  <si>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</si>
  <si>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</si>
  <si>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</si>
  <si>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</si>
  <si>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</si>
  <si>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</si>
  <si>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</si>
  <si>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</si>
  <si>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</si>
  <si>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</si>
  <si>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</si>
  <si>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</si>
  <si>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</si>
  <si>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</si>
  <si>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</si>
  <si>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</si>
  <si>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</si>
  <si>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</si>
  <si>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</si>
  <si>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</si>
  <si>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</si>
  <si>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</si>
  <si>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</si>
  <si>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</si>
  <si>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</si>
  <si>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</si>
  <si>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</si>
  <si>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</si>
  <si>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</si>
  <si>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</si>
  <si>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</si>
  <si>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</si>
  <si>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</si>
  <si>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</si>
  <si>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</si>
  <si>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</si>
  <si>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</si>
  <si>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</si>
  <si>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</si>
  <si>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</si>
  <si>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</si>
  <si>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</si>
  <si>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</si>
  <si>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</si>
  <si>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</si>
  <si>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</si>
  <si>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</si>
  <si>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</si>
  <si>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</si>
  <si>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</si>
  <si>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</si>
  <si>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</si>
  <si>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</si>
  <si>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</si>
  <si>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</si>
  <si>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</si>
  <si>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</si>
  <si>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</si>
  <si>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</si>
  <si>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</si>
  <si>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</si>
  <si>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</si>
  <si>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</si>
  <si>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</si>
  <si>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</si>
  <si>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</si>
  <si>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</si>
  <si>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</si>
  <si>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</si>
  <si>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</si>
  <si>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</si>
  <si>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</si>
  <si>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</si>
  <si>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</si>
  <si>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</si>
  <si>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</si>
  <si>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</si>
  <si>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</si>
  <si>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</si>
  <si>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</si>
  <si>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</si>
  <si>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</si>
  <si>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</si>
  <si>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</si>
  <si>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</si>
  <si>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</si>
  <si>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</si>
  <si>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</si>
  <si>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</si>
  <si>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</si>
  <si>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</si>
  <si>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</si>
  <si>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</si>
  <si>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</si>
  <si>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</si>
  <si>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</si>
  <si>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</si>
  <si>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</si>
  <si>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</si>
  <si>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</si>
  <si>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</si>
  <si>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</si>
  <si>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</si>
  <si>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</si>
  <si>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</si>
  <si>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</si>
  <si>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</si>
  <si>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</si>
  <si>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</si>
  <si>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</si>
  <si>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</si>
  <si>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</si>
  <si>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</si>
  <si>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</si>
  <si>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</si>
  <si>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</si>
  <si>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</si>
  <si>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</si>
  <si>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</si>
  <si>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</si>
  <si>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</si>
  <si>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</si>
  <si>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</si>
  <si>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</si>
  <si>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</si>
  <si>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</si>
  <si>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</si>
  <si>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</si>
  <si>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</si>
  <si>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</si>
  <si>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</si>
  <si>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</si>
  <si>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</si>
  <si>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</si>
  <si>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</si>
  <si>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</si>
  <si>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</si>
  <si>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</si>
  <si>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</si>
  <si>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</si>
  <si>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</si>
  <si>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</si>
  <si>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</si>
  <si>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</si>
  <si>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</si>
  <si>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</si>
  <si>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</si>
  <si>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</si>
  <si>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</si>
  <si>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</si>
  <si>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</si>
  <si>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</si>
  <si>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</si>
  <si>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</si>
  <si>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</si>
  <si>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</si>
  <si>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</si>
  <si>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</si>
  <si>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</si>
  <si>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</si>
  <si>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</si>
  <si>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</si>
  <si>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</si>
  <si>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</si>
  <si>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</si>
  <si>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</si>
  <si>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</si>
  <si>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</si>
  <si>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</si>
  <si>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</si>
  <si>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</si>
  <si>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</si>
  <si>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</si>
  <si>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</si>
  <si>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</si>
  <si>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</si>
  <si>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</si>
  <si>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</si>
  <si>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</si>
  <si>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</si>
  <si>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</si>
  <si>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</si>
  <si>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</si>
  <si>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</si>
  <si>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</si>
  <si>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</si>
  <si>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</si>
  <si>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</si>
  <si>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</si>
  <si>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</si>
  <si>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</si>
  <si>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</si>
  <si>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</si>
  <si>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</si>
  <si>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</si>
  <si>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</si>
  <si>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</si>
  <si>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</si>
  <si>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</si>
  <si>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</si>
  <si>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</si>
  <si>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</si>
  <si>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</si>
  <si>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</si>
  <si>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</si>
  <si>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</si>
  <si>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</si>
  <si>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</si>
  <si>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</si>
  <si>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</si>
  <si>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</si>
  <si>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</si>
  <si>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</si>
  <si>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</si>
  <si>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</si>
  <si>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</si>
  <si>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</si>
  <si>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</si>
  <si>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</si>
  <si>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</si>
  <si>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</si>
  <si>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</si>
  <si>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</si>
  <si>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</si>
  <si>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</si>
  <si>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</si>
  <si>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</si>
  <si>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</si>
  <si>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</si>
  <si>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</si>
  <si>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</si>
  <si>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</si>
  <si>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</si>
  <si>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</si>
  <si>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</si>
  <si>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</si>
  <si>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</si>
  <si>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</si>
  <si>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</si>
  <si>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</si>
  <si>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</si>
  <si>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</si>
  <si>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</si>
  <si>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</si>
  <si>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</si>
  <si>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</si>
  <si>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</si>
  <si>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</si>
  <si>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</si>
  <si>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</si>
  <si>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</si>
  <si>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</si>
  <si>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</si>
  <si>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</si>
  <si>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</si>
  <si>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</si>
  <si>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</si>
  <si>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</si>
  <si>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</si>
  <si>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</si>
  <si>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</si>
  <si>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</si>
  <si>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</si>
  <si>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</si>
  <si>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</si>
  <si>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</si>
  <si>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</si>
  <si>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</si>
  <si>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</si>
  <si>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</si>
  <si>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</si>
  <si>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</si>
  <si>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</si>
  <si>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</si>
  <si>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</si>
  <si>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</si>
  <si>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</si>
  <si>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</si>
  <si>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</si>
  <si>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</si>
  <si>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</si>
  <si>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</si>
  <si>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</si>
  <si>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</si>
  <si>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</si>
  <si>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</si>
  <si>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</si>
  <si>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</si>
  <si>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</si>
  <si>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</si>
  <si>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</si>
  <si>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</si>
  <si>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</si>
  <si>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</si>
  <si>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</si>
  <si>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</si>
  <si>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</si>
  <si>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</si>
  <si>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</si>
  <si>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</si>
  <si>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</si>
  <si>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</si>
  <si>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</si>
  <si>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</si>
  <si>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</si>
  <si>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</si>
  <si>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</si>
  <si>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</si>
  <si>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</si>
  <si>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</si>
  <si>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</si>
  <si>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</si>
  <si>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</si>
  <si>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</si>
  <si>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</si>
  <si>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</si>
  <si>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</si>
  <si>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</si>
  <si>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</si>
  <si>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</si>
  <si>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</si>
  <si>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</si>
  <si>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</si>
  <si>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</si>
  <si>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</si>
  <si>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</si>
  <si>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</si>
  <si>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</si>
  <si>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</si>
  <si>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</si>
  <si>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</si>
  <si>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</si>
  <si>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</si>
  <si>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</si>
  <si>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</si>
  <si>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</si>
  <si>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</si>
  <si>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</si>
  <si>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</si>
  <si>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</si>
  <si>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</si>
  <si>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</si>
  <si>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</si>
  <si>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</si>
  <si>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</si>
  <si>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</si>
  <si>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</si>
  <si>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</si>
  <si>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</si>
  <si>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</si>
  <si>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</si>
  <si>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</si>
  <si>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</si>
  <si>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</si>
  <si>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</si>
  <si>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</si>
  <si>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</si>
  <si>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</si>
  <si>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</si>
  <si>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</si>
  <si>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</si>
  <si>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</si>
  <si>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</si>
  <si>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</si>
  <si>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</si>
  <si>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</si>
  <si>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</si>
  <si>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</si>
  <si>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</si>
  <si>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</si>
  <si>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</si>
  <si>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</si>
  <si>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</si>
  <si>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</si>
  <si>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</si>
  <si>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</si>
  <si>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</si>
  <si>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</si>
  <si>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</si>
  <si>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</si>
  <si>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</si>
  <si>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</si>
  <si>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</si>
  <si>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</si>
  <si>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</si>
  <si>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</si>
  <si>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</si>
  <si>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</si>
  <si>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</si>
  <si>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</si>
  <si>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</si>
  <si>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</si>
  <si>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</si>
  <si>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</si>
  <si>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</si>
  <si>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</si>
  <si>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</si>
  <si>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</si>
  <si>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</si>
  <si>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</si>
  <si>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</si>
  <si>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</si>
  <si>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</si>
  <si>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</si>
  <si>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</si>
  <si>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</si>
  <si>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</si>
  <si>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</si>
  <si>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</si>
  <si>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</si>
  <si>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</si>
  <si>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</si>
  <si>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</si>
  <si>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</si>
  <si>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</si>
  <si>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</si>
  <si>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</si>
  <si>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</si>
  <si>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</si>
  <si>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</si>
  <si>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</si>
  <si>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</si>
  <si>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</si>
  <si>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</si>
  <si>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</si>
  <si>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</si>
  <si>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</si>
  <si>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</si>
  <si>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</si>
  <si>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</si>
  <si>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</si>
  <si>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</si>
  <si>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</si>
  <si>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</si>
  <si>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</si>
  <si>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</si>
  <si>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</si>
  <si>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</si>
  <si>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</si>
  <si>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</si>
  <si>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</si>
  <si>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</si>
  <si>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</si>
  <si>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</si>
  <si>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</si>
  <si>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</si>
  <si>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</si>
  <si>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</si>
  <si>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</si>
  <si>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</si>
  <si>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</si>
  <si>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</si>
  <si>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</si>
  <si>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</si>
  <si>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</si>
  <si>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</si>
  <si>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</si>
  <si>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</si>
  <si>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</si>
  <si>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</si>
  <si>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</si>
  <si>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</si>
  <si>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</si>
  <si>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</si>
  <si>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</si>
  <si>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</si>
  <si>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</si>
  <si>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</si>
  <si>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</si>
  <si>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</si>
  <si>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</si>
  <si>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</si>
  <si>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</si>
  <si>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</si>
  <si>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</si>
  <si>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</si>
  <si>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</si>
  <si>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</si>
  <si>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</si>
  <si>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</si>
  <si>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</si>
  <si>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</si>
  <si>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</si>
  <si>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</si>
  <si>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</si>
  <si>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</si>
  <si>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</si>
  <si>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</si>
  <si>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</si>
  <si>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</si>
  <si>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</si>
  <si>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</si>
  <si>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</si>
  <si>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</si>
  <si>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</si>
  <si>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</si>
  <si>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</si>
  <si>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</si>
  <si>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</si>
  <si>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</si>
  <si>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</si>
  <si>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</si>
  <si>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</si>
  <si>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</si>
  <si>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</si>
  <si>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</si>
  <si>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</si>
  <si>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</si>
  <si>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</si>
  <si>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</si>
  <si>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</si>
  <si>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</si>
  <si>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</si>
  <si>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</si>
  <si>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</si>
  <si>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</si>
  <si>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</si>
  <si>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</si>
  <si>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</si>
  <si>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</si>
  <si>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</si>
  <si>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</si>
  <si>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</si>
  <si>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</si>
  <si>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</si>
  <si>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</si>
  <si>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</si>
  <si>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</si>
  <si>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</si>
  <si>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</si>
  <si>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</si>
  <si>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</si>
  <si>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</si>
  <si>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</si>
  <si>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</si>
  <si>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</si>
  <si>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</si>
  <si>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</si>
  <si>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</si>
  <si>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</si>
  <si>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</si>
  <si>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</si>
  <si>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</si>
  <si>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</si>
  <si>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</si>
  <si>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</si>
  <si>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</si>
  <si>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</si>
  <si>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</si>
  <si>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</si>
  <si>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</si>
  <si>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</si>
  <si>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</si>
  <si>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</si>
  <si>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</si>
  <si>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</si>
  <si>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</si>
  <si>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</si>
  <si>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</si>
  <si>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</si>
  <si>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</si>
  <si>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</si>
  <si>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</si>
  <si>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</si>
  <si>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</si>
  <si>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</si>
  <si>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</si>
  <si>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</si>
  <si>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</si>
  <si>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</si>
  <si>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</si>
  <si>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</si>
  <si>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</si>
  <si>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</si>
  <si>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</si>
  <si>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</si>
  <si>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</si>
  <si>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</si>
  <si>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</si>
  <si>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</si>
  <si>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</si>
  <si>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</si>
  <si>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</si>
  <si>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</si>
  <si>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</si>
  <si>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</si>
  <si>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</si>
  <si>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</si>
  <si>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</si>
  <si>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</si>
  <si>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</si>
  <si>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</si>
  <si>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</si>
  <si>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</si>
  <si>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</si>
  <si>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</si>
  <si>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</si>
  <si>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</si>
  <si>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</si>
  <si>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</si>
  <si>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</si>
  <si>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</si>
  <si>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</si>
  <si>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</si>
  <si>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</si>
  <si>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</si>
  <si>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</si>
  <si>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</si>
  <si>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</si>
  <si>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</si>
  <si>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</si>
  <si>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</si>
  <si>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</si>
  <si>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</si>
  <si>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</si>
  <si>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</si>
  <si>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</si>
  <si>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</si>
  <si>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</si>
  <si>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</si>
  <si>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</si>
  <si>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</si>
  <si>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</si>
  <si>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</si>
  <si>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</si>
  <si>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</si>
  <si>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</si>
  <si>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</si>
  <si>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</si>
  <si>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</si>
  <si>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</si>
  <si>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</si>
  <si>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</si>
  <si>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</si>
  <si>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</si>
  <si>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</si>
  <si>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</si>
  <si>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</si>
  <si>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</si>
  <si>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</si>
  <si>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</si>
  <si>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</si>
  <si>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</si>
  <si>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</si>
  <si>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</si>
  <si>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</si>
  <si>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</si>
  <si>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</si>
  <si>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</si>
  <si>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</si>
  <si>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</si>
  <si>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</si>
  <si>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</si>
  <si>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</si>
  <si>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</si>
  <si>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</si>
  <si>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</si>
  <si>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</si>
  <si>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</si>
  <si>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</si>
  <si>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</si>
  <si>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</si>
  <si>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</si>
  <si>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</si>
  <si>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</si>
  <si>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</si>
  <si>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</si>
  <si>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</si>
  <si>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</si>
  <si>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</si>
  <si>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</si>
  <si>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</si>
  <si>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</si>
  <si>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</si>
  <si>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</si>
  <si>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</si>
  <si>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</si>
  <si>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</si>
  <si>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</si>
  <si>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</si>
  <si>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</si>
  <si>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</si>
  <si>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</si>
  <si>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</si>
  <si>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</si>
  <si>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</si>
  <si>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</si>
  <si>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</si>
  <si>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</si>
  <si>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</si>
  <si>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</si>
  <si>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</si>
  <si>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</si>
  <si>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</si>
  <si>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</si>
  <si>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</si>
  <si>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</si>
  <si>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</si>
  <si>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</si>
  <si>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</si>
  <si>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</si>
  <si>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</si>
  <si>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</si>
  <si>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</si>
  <si>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</si>
  <si>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</si>
  <si>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</si>
  <si>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</si>
  <si>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</si>
  <si>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</si>
  <si>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</si>
  <si>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</si>
  <si>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</si>
  <si>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</si>
  <si>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indexed="8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</si>
  <si>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indexed="8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</si>
  <si>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</si>
  <si>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</si>
  <si>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</si>
  <si>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</si>
  <si>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</si>
  <si>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</si>
  <si>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</si>
  <si>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</si>
  <si>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</si>
  <si>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</si>
  <si>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</si>
  <si>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</si>
  <si>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</si>
  <si>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</si>
  <si>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</si>
  <si>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</si>
  <si>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</si>
  <si>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</si>
  <si>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</si>
  <si>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</si>
  <si>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</si>
  <si>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</si>
  <si>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</si>
  <si>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indexed="8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</si>
  <si>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</si>
  <si>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</si>
  <si>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</si>
  <si>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</si>
  <si>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</si>
  <si>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</si>
  <si>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</si>
  <si>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</si>
  <si>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</si>
  <si>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</si>
  <si>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</si>
  <si>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</si>
  <si>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</si>
  <si>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</si>
  <si>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</si>
  <si>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</si>
  <si>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</si>
  <si>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</si>
  <si>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</si>
  <si>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</si>
  <si>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</si>
  <si>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</si>
  <si>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</si>
  <si>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</si>
  <si>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</si>
  <si>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</si>
  <si>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</si>
  <si>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</si>
  <si>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</si>
  <si>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</si>
  <si>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</si>
  <si>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</si>
  <si>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</si>
  <si>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</si>
  <si>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</si>
  <si>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</si>
  <si>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</si>
  <si>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</si>
  <si>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</si>
  <si>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</si>
  <si>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</si>
  <si>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</si>
  <si>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</si>
  <si>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</si>
  <si>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</si>
  <si>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</si>
  <si>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</si>
  <si>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</si>
  <si>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</si>
  <si>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</si>
  <si>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</si>
  <si>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</si>
  <si>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</si>
  <si>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</si>
  <si>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</si>
  <si>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</si>
  <si>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</si>
  <si>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</si>
  <si>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</si>
  <si>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</si>
  <si>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</si>
  <si>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</si>
  <si>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</si>
  <si>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</si>
  <si>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</si>
  <si>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</si>
  <si>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</si>
  <si>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</si>
  <si>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</si>
  <si>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</si>
  <si>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</si>
  <si>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</si>
  <si>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</si>
  <si>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</si>
  <si>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</si>
  <si>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</si>
  <si>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</si>
  <si>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</si>
  <si>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</si>
  <si>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</si>
  <si>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 xml:space="preserve">โครงการ/กิจกรรม </t>
  </si>
  <si>
    <t>รวมงบประมาณ</t>
  </si>
  <si>
    <t>เงินงบประมาณ</t>
  </si>
  <si>
    <t>ลงชื่อ..........................................................................................ผู้เสนอแผน</t>
  </si>
  <si>
    <t>ลงชื่อ...................................................................................ผู้เห็นชอบแผน</t>
  </si>
  <si>
    <t>ลงชื่อ..........................................................................................ผู้อนุมัติแผน</t>
  </si>
  <si>
    <t xml:space="preserve"> หัวหน้ากลุ่มงานส่งเสริมสุขภาพ</t>
  </si>
  <si>
    <t>รองนายแพทย์สาธารณสุขจังหวัดสระแก้ว</t>
  </si>
  <si>
    <t>แผนเดิม</t>
  </si>
  <si>
    <t>แหล่งงบประมาณ (แผนเดิม)</t>
  </si>
  <si>
    <t>แหล่งงบประมาณ (แผนใหม่)</t>
  </si>
  <si>
    <t>เงินบำรุง รพ.</t>
  </si>
  <si>
    <t>อปท.</t>
  </si>
  <si>
    <t>สป.(กบรส.)</t>
  </si>
  <si>
    <t>แผนปรับใหม่</t>
  </si>
  <si>
    <t>หมายเหตุ</t>
  </si>
  <si>
    <t>จำนวนเงิน</t>
  </si>
  <si>
    <t>(นางกฤษณา  ฤทธิ์เดช)</t>
  </si>
  <si>
    <t>(นางดารารัตน์  โห้วงศ์ )</t>
  </si>
  <si>
    <t>แหล่งงบประมาณ สำนักงานสาธารณสุขจังหวัดสระแก้ว</t>
  </si>
  <si>
    <t xml:space="preserve">3. ค่าถ่ายเอกสาร จำนวน 4,000 แผ่นๆละ 0.50 บาท </t>
  </si>
  <si>
    <t xml:space="preserve">กิจกรรม อบรมเชิงปฏิบัติการพัฒนาศักยภาพนักกระตุ้นพัฒนาการเด็ก ของโรงพยาบาล และ NPCU และ PCU ด้วยเครื่องมือ TDA4I
</t>
  </si>
  <si>
    <t xml:space="preserve">กิจกรรม อบรมเชิงปฏิบัติการพัฒนาศักยภาพนักกระตุ้นพัฒนาการเด็ก ของโรงพยาบาล  NPCU และ PCU ด้วยเครื่องมือ TDA4I
</t>
  </si>
  <si>
    <t>ว/ด/ป ที่ดำเนินการ  ธันวาคม 2566</t>
  </si>
  <si>
    <t>ว/ด/ป ที่ดำเนินการ   มกราคม 2567</t>
  </si>
  <si>
    <t>รายละเอียดงบประมาณโครงการมหัศจรรย์ 1,000 วัน Plus 2,500 วัน และสถานพัฒนาเด็กปฐมวัย 4D  และพัฒนาสุขภาพวัยรุ่น จังหวัดสระแก้ว ประจำปีงบประมาณ พ.ศ. 2567</t>
  </si>
  <si>
    <t xml:space="preserve">1. ค่าอาหารกลางวัน จำนวน 2 วันๆละ 70 คนๆละ 1 มื้อๆละ 80 บาท </t>
  </si>
  <si>
    <t xml:space="preserve">2. ค่าอาหารว่างและเครื่องดื่ม จำนวน  2 วันๆละ 70 คนๆละ 2 มื้อๆละ 35 บาท </t>
  </si>
  <si>
    <t>4. ค่าวัสดุสำนักงาน จำนวน 70 คนๆละ 30 บาท</t>
  </si>
  <si>
    <t xml:space="preserve">5. ค่าสมนาคุณวิทยากรบรรยาย จำนวน 2 วันๆละ 1 คนๆละ 3 ชม.ๆละ 600 บาท </t>
  </si>
  <si>
    <t xml:space="preserve">6. ค่าสมนาคุณวิทยากรกลุ่ม จำนวน 2 วันๆละ 3 คนๆละ 3 ชม.ๆละ 600 บาท </t>
  </si>
  <si>
    <t>กิจกรรม อบรมเชิงปฏิบัติการพัฒนาศักยภาพนักกระตุ้นพัฒนาการเด็ก ของโรงพยาบาล  NPCU และ PCU ด้วยเครื่องมือ TDA4I</t>
  </si>
  <si>
    <t>สรุปรายละเอียดงบประมาณ ตามแผนปฏิบัติราชการ...สำนักงานสาธารณสุขจังหวัดสระแก้ว...ประจำปีงบประมาณ พ.ศ. 2567</t>
  </si>
  <si>
    <t xml:space="preserve">กิจกรรม ประชุมคณะกรรมการและคณะทำงานงานอนามัยแม่และเด็ก (MCH Board) ระดับจังหวัด 
</t>
  </si>
  <si>
    <t>1. ค่าอาหารว่างและเครื่องดื่ม จำนวน 50 คนๆละ 1 มื้อๆละ 35 บาท จำนวน 3 ครั้ง</t>
  </si>
  <si>
    <t>2. ค่าถ่ายเอกสาร จำนวน 1,000 แผ่นๆละ 0.50 บาทๆละ 3 ครั้ง</t>
  </si>
  <si>
    <t>3. ค่าวัสดุสำนักงาน จำนวน 50 คนๆละ 30 บาทๆละ  3 ครั้ง</t>
  </si>
  <si>
    <t xml:space="preserve">กิจกรรม ประเมินโรงพยาบาลมาตรฐานงานอนามัยแม่และเด็ก
</t>
  </si>
  <si>
    <t>กลุ่มเป้าหมาย คณะกรรมการฯและพนักงานขับรถ  จำนวน 12 คน</t>
  </si>
  <si>
    <t>1. ค่าเบี้ยเลี้ยง จำนวน 12 คนๆละ 9 วันๆละ 120 บาท</t>
  </si>
  <si>
    <t xml:space="preserve">2. ค่าถ่ายเอกสาร จำนวน 1,000 แผ่นๆละ 0.50 บาท </t>
  </si>
  <si>
    <t>กลุ่มเป้าหมาย บุคลากรสาธารณสุข จาก โรงพยาบาล/NPCU/PCU ทุกแห่งในจังหวัด จำนวน 70 คน</t>
  </si>
  <si>
    <t xml:space="preserve">กิจกรรม ประชุมคณะกรรมการขับเคลื่อนธรรมนูญสุขภาพพระสงฆ์ระดับจังหวัด
</t>
  </si>
  <si>
    <t xml:space="preserve">กิจกรรม ปประชุมคณะกรรมการขับเคลื่อนธรรมนูญสุขภาพพระสงฆ์ระดับจังหวัด
</t>
  </si>
  <si>
    <t>กลุ่มเป้าหมาย คณะกรรมการขับเคลื่อนธรรมนูญสุขภาพพระสงฆ์ระดับจังหวัด  จำนวน 40 รูป/คน</t>
  </si>
  <si>
    <t xml:space="preserve">1.ค่าอาหารว่างและเครื่องดื่ม จำนวน 40 คนๆละ 2 มื้อๆละ 35 บาท   </t>
  </si>
  <si>
    <t xml:space="preserve">2.ค่าถ่ายเอกสาร จำนวน 2,000 แผ่นๆละ 0.5 บาท </t>
  </si>
  <si>
    <t xml:space="preserve">กิจกรรม เยี่ยมเสริมพลัง และนิเทศติดตามการดำเนินงานตำบลต้นแบบมหัศจรรย์1,000วันPlus 2,500 วัน และสถานพัฒนาเด็กปฐมวัย 4D จังหวัดสระแก้ว 
</t>
  </si>
  <si>
    <t>กลุ่มเป้าหมาย ทีมพัฒนาเด็กและครอบครัว(CFT) ระดับจังหวัดสระแก้ว (บุคลากรสาธารณสุข เจ้าหน้าที่ พมจ. พัฒนาการจังหวัด ท้องถิ่นจังหวัดพนักงานขับรถ จำนวน 8 คน</t>
  </si>
  <si>
    <t xml:space="preserve">กิจกรรม ประชุมถอดบทเรียนการดำเนินงานโครงการมหัศจรรย์ 1,000 วัน Plus 2,500 วัน และสถานพัฒนาเด็กปฐมวัย 4D จังหวัดสระแก้ว
</t>
  </si>
  <si>
    <t xml:space="preserve">1. ค่าเบี้ยเลี้ยง จำนวน 7 คนๆละ 5 วันๆละ 120 บาท
</t>
  </si>
  <si>
    <t>2. ค่าเบี้ยเลี้ยง จำนวน 1 คนๆละ 5วันๆละ 135 บาท</t>
  </si>
  <si>
    <t xml:space="preserve">กิจกรรม ประชุมคณะกรรมการและคณะทำงานงานอนามัยแม่และเด็ก (MCH Board) ระดับจังหวัด </t>
  </si>
  <si>
    <t>กิจกรรม ประเมินโรงพยาบาลมาตรฐานงานอนามัยแม่และเด็ก</t>
  </si>
  <si>
    <t>กิจกรรม ประชุมคณะกรรมการขับเคลื่อนธรรมนูญสุขภาพพระสงฆ์ระดับจังหวัด</t>
  </si>
  <si>
    <t>รายละเอียดงบประมาณครงการส่งเสริมสุขภาพประชาชนเพื่อคุณภาพชีวิตที่ดี จังหวัดสระแก้ว ประจำปีงบประมาณ พ.ศ. 2567</t>
  </si>
  <si>
    <t>ว/ด/ป ที่ดำเนินการ   มกราคม 2567 - มิถุนายน 2567</t>
  </si>
  <si>
    <t>ว/ด/ป ที่ดำเนินการ  ธันวาคม 2566 - มิถุนายน 2567</t>
  </si>
  <si>
    <t>กลุ่มเป้าหมาย คณะกรรมการและคณะทำงาน ฯ จำนวน 50 คน</t>
  </si>
  <si>
    <t>ว/ด/ป ที่ดำเนินการ  ธันวาคม 2566, มีนาคม 2567 และมิถุนายน 2567</t>
  </si>
  <si>
    <t>ว/ด/ป ที่ดำเนินการ  มกราคม 2567, มีนาคม 2567 และมิถุนายน 2567</t>
  </si>
  <si>
    <t xml:space="preserve">ว/ด/ป ที่ดำเนินการ  ธันวาคม 2566, มีนาคม 2567 และเมษายน 2567
</t>
  </si>
  <si>
    <t xml:space="preserve">ว/ด/ป ที่ดำเนินการ  มกราคม 2567, มีนาคม 2567 และเมษายน 2567
</t>
  </si>
  <si>
    <t>ว/ด/ป ที่ดำเนินการ  มีนาคม 2567</t>
  </si>
  <si>
    <t>กิจกรรม ประชุมถอดบทเรียนการดำเนินงานโครงการมหัศจรรย์ 1,000 วัน Plus 2,500 วัน และสถานพัฒนาเด็กปฐมวัย 4D จังหวัดสระแก้ว</t>
  </si>
  <si>
    <t xml:space="preserve">กิจกรรม เยี่ยมเสริมพลัง และนิเทศติดตามการดำเนินงานตำบลต้นแบบมหัศจรรย์1,000วันPlus 2,500 วัน และสถานพัฒนาเด็กปฐมวัย 4D จังหวัดสระแก้ว </t>
  </si>
  <si>
    <t xml:space="preserve">1. ค่าอาหารว่างและเครื่องดื่ม จำนวน 50 คนๆละ 1 มื้อๆละ 35 บาท </t>
  </si>
  <si>
    <t>กลุ่มเป้าหมาย  ทีมพัฒนาเด็กและครอบครัว(CFT) ระดับตำบล จำนวน 50 คน</t>
  </si>
  <si>
    <t xml:space="preserve">1. ค่าเบี้ยเลี้ยง จำนวน 7 คนๆละ 3 วันๆละ 120 บาท
</t>
  </si>
  <si>
    <t>2. ค่าเบี้ยเลี้ยง จำนวน 1 คนๆละ 3 วันๆละ 135 บาท</t>
  </si>
</sst>
</file>

<file path=xl/styles.xml><?xml version="1.0" encoding="utf-8"?>
<styleSheet xmlns="http://schemas.openxmlformats.org/spreadsheetml/2006/main">
  <numFmts count="5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t&quot;£&quot;#,##0_);\(\t&quot;£&quot;#,##0\)"/>
    <numFmt numFmtId="181" formatCode="\t&quot;£&quot;#,##0_);[Red]\(\t&quot;£&quot;#,##0\)"/>
    <numFmt numFmtId="182" formatCode="\t&quot;£&quot;#,##0.00_);\(\t&quot;£&quot;#,##0.00\)"/>
    <numFmt numFmtId="183" formatCode="\t&quot;£&quot;#,##0.00_);[Red]\(\t&quot;£&quot;#,##0.00\)"/>
    <numFmt numFmtId="184" formatCode="_-* #,##0_-;\-* #,##0_-;_-* &quot;-&quot;??_-;_-@_-"/>
    <numFmt numFmtId="185" formatCode="_-* #,##0.00_-;\-* #,##0.00_-;_-* \-??_-;_-@_-"/>
    <numFmt numFmtId="186" formatCode="[$-1070000]d/m/yy;@"/>
    <numFmt numFmtId="187" formatCode="_-* #,##0.00_-;\-* #,##0.00_-;_-* &quot;-&quot;??_-;_-@"/>
    <numFmt numFmtId="188" formatCode="_-* #,##0_-;\-* #,##0_-;_-* &quot;-&quot;??_-;_-@"/>
    <numFmt numFmtId="189" formatCode="d\ mmm\ yy"/>
    <numFmt numFmtId="190" formatCode="_-* #,##0.000000_-;\-* #,##0.000000_-;_-* &quot;-&quot;??_-;_-@_-"/>
    <numFmt numFmtId="191" formatCode="_-* #,##0.0_-;\-* #,##0.0_-;_-* &quot;-&quot;??_-;_-@_-"/>
    <numFmt numFmtId="192" formatCode="_-* #,##0.00000_-;\-* #,##0.00000_-;_-* &quot;-&quot;??_-;_-@_-"/>
    <numFmt numFmtId="193" formatCode="_-* #,##0.0000_-;\-* #,##0.0000_-;_-* &quot;-&quot;??_-;_-@_-"/>
    <numFmt numFmtId="194" formatCode="_-* #,##0.000_-;\-* #,##0.000_-;_-* &quot;-&quot;??_-;_-@_-"/>
    <numFmt numFmtId="195" formatCode="[$-1070000]d/m/yy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0.0"/>
    <numFmt numFmtId="201" formatCode="#,##0_ ;\-#,##0\ "/>
    <numFmt numFmtId="202" formatCode="0.000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_-* #,##0.0000000000_-;\-* #,##0.0000000000_-;_-* &quot;-&quot;??_-;_-@_-"/>
    <numFmt numFmtId="207" formatCode="_-* #,##0.00000000000_-;\-* #,##0.00000000000_-;_-* &quot;-&quot;??_-;_-@_-"/>
    <numFmt numFmtId="208" formatCode="_-* #,##0.000000000000_-;\-* #,##0.000000000000_-;_-* &quot;-&quot;??_-;_-@_-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IT๙"/>
      <family val="2"/>
    </font>
    <font>
      <b/>
      <sz val="9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3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Calibri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9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Calibri"/>
      <family val="2"/>
    </font>
    <font>
      <b/>
      <sz val="14"/>
      <color indexed="23"/>
      <name val="TH SarabunIT๙"/>
      <family val="2"/>
    </font>
    <font>
      <sz val="14"/>
      <color indexed="23"/>
      <name val="TH SarabunIT๙"/>
      <family val="2"/>
    </font>
    <font>
      <b/>
      <sz val="13"/>
      <color indexed="8"/>
      <name val="TH SarabunPSK"/>
      <family val="2"/>
    </font>
    <font>
      <sz val="16"/>
      <color indexed="8"/>
      <name val="Calibri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23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Calibri"/>
      <family val="2"/>
    </font>
    <font>
      <b/>
      <sz val="16"/>
      <color indexed="10"/>
      <name val="TH SarabunIT๙"/>
      <family val="2"/>
    </font>
    <font>
      <b/>
      <u val="single"/>
      <sz val="16"/>
      <color indexed="10"/>
      <name val="TH SarabunIT๙"/>
      <family val="2"/>
    </font>
    <font>
      <b/>
      <u val="singleAccounting"/>
      <sz val="16"/>
      <color indexed="10"/>
      <name val="TH SarabunIT๙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TH SarabunIT๙"/>
      <family val="2"/>
    </font>
    <font>
      <sz val="16"/>
      <color indexed="8"/>
      <name val="Wingdings"/>
      <family val="0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9"/>
      <name val="TH SarabunIT๙"/>
      <family val="2"/>
    </font>
    <font>
      <sz val="11"/>
      <color rgb="FF000000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rgb="FF000000"/>
      <name val="TH SarabunIT๙"/>
      <family val="2"/>
    </font>
    <font>
      <sz val="12"/>
      <color rgb="FF000000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b/>
      <sz val="14"/>
      <color theme="1" tint="0.49998000264167786"/>
      <name val="TH SarabunIT๙"/>
      <family val="2"/>
    </font>
    <font>
      <sz val="14"/>
      <color theme="1" tint="0.49998000264167786"/>
      <name val="TH SarabunIT๙"/>
      <family val="2"/>
    </font>
    <font>
      <b/>
      <sz val="13"/>
      <color theme="1"/>
      <name val="TH SarabunPSK"/>
      <family val="2"/>
    </font>
    <font>
      <sz val="16"/>
      <color theme="1"/>
      <name val="Calibri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theme="1" tint="0.49998000264167786"/>
      <name val="Calibri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Calibri"/>
      <family val="2"/>
    </font>
    <font>
      <b/>
      <sz val="16"/>
      <color rgb="FFFF0000"/>
      <name val="TH SarabunIT๙"/>
      <family val="2"/>
    </font>
    <font>
      <b/>
      <u val="single"/>
      <sz val="16"/>
      <color rgb="FFFF0000"/>
      <name val="TH SarabunIT๙"/>
      <family val="2"/>
    </font>
    <font>
      <b/>
      <u val="singleAccounting"/>
      <sz val="16"/>
      <color rgb="FFFF0000"/>
      <name val="TH SarabunIT๙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TH SarabunIT๙"/>
      <family val="2"/>
    </font>
    <font>
      <sz val="16"/>
      <color theme="1"/>
      <name val="Wingdings"/>
      <family val="0"/>
    </font>
    <font>
      <b/>
      <sz val="14"/>
      <color theme="1"/>
      <name val="Calibri"/>
      <family val="2"/>
    </font>
    <font>
      <sz val="16"/>
      <color theme="0"/>
      <name val="TH SarabunIT๙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85" fontId="75" fillId="0" borderId="0" applyBorder="0" applyProtection="0">
      <alignment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3" borderId="1" applyNumberFormat="0" applyAlignment="0" applyProtection="0"/>
    <xf numFmtId="0" fontId="86" fillId="24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2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20" borderId="5" applyNumberFormat="0" applyAlignment="0" applyProtection="0"/>
    <xf numFmtId="0" fontId="0" fillId="32" borderId="6" applyNumberFormat="0" applyFont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924">
    <xf numFmtId="0" fontId="0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94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34" borderId="10" xfId="0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5" fillId="33" borderId="10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6" fillId="0" borderId="11" xfId="0" applyFont="1" applyBorder="1" applyAlignment="1">
      <alignment/>
    </xf>
    <xf numFmtId="0" fontId="94" fillId="0" borderId="0" xfId="0" applyFont="1" applyAlignment="1">
      <alignment horizontal="center" vertical="top"/>
    </xf>
    <xf numFmtId="0" fontId="94" fillId="12" borderId="10" xfId="0" applyFont="1" applyFill="1" applyBorder="1" applyAlignment="1">
      <alignment horizontal="center" vertical="top" wrapText="1"/>
    </xf>
    <xf numFmtId="0" fontId="94" fillId="12" borderId="10" xfId="0" applyFont="1" applyFill="1" applyBorder="1" applyAlignment="1">
      <alignment horizontal="center" vertical="top"/>
    </xf>
    <xf numFmtId="0" fontId="95" fillId="12" borderId="10" xfId="0" applyFont="1" applyFill="1" applyBorder="1" applyAlignment="1">
      <alignment horizontal="center" vertical="top"/>
    </xf>
    <xf numFmtId="0" fontId="94" fillId="10" borderId="10" xfId="0" applyFont="1" applyFill="1" applyBorder="1" applyAlignment="1">
      <alignment horizontal="center" vertical="top" wrapText="1"/>
    </xf>
    <xf numFmtId="0" fontId="94" fillId="10" borderId="10" xfId="0" applyFont="1" applyFill="1" applyBorder="1" applyAlignment="1">
      <alignment horizontal="center" vertical="top"/>
    </xf>
    <xf numFmtId="0" fontId="94" fillId="34" borderId="10" xfId="0" applyFont="1" applyFill="1" applyBorder="1" applyAlignment="1">
      <alignment horizontal="center" vertical="top"/>
    </xf>
    <xf numFmtId="0" fontId="95" fillId="10" borderId="10" xfId="0" applyFont="1" applyFill="1" applyBorder="1" applyAlignment="1">
      <alignment horizontal="center" vertical="top"/>
    </xf>
    <xf numFmtId="0" fontId="94" fillId="13" borderId="10" xfId="0" applyFont="1" applyFill="1" applyBorder="1" applyAlignment="1">
      <alignment horizontal="center" vertical="top" wrapText="1"/>
    </xf>
    <xf numFmtId="0" fontId="95" fillId="13" borderId="10" xfId="0" applyFont="1" applyFill="1" applyBorder="1" applyAlignment="1">
      <alignment horizontal="center"/>
    </xf>
    <xf numFmtId="0" fontId="94" fillId="13" borderId="10" xfId="0" applyFont="1" applyFill="1" applyBorder="1" applyAlignment="1">
      <alignment horizont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/>
    </xf>
    <xf numFmtId="0" fontId="99" fillId="0" borderId="10" xfId="0" applyFont="1" applyFill="1" applyBorder="1" applyAlignment="1">
      <alignment horizontal="left" vertical="top" wrapText="1"/>
    </xf>
    <xf numFmtId="3" fontId="100" fillId="0" borderId="10" xfId="61" applyNumberFormat="1" applyFont="1" applyFill="1" applyBorder="1" applyAlignment="1">
      <alignment vertical="top" wrapText="1" readingOrder="1"/>
    </xf>
    <xf numFmtId="0" fontId="2" fillId="0" borderId="0" xfId="0" applyFont="1" applyAlignment="1">
      <alignment/>
    </xf>
    <xf numFmtId="0" fontId="97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" fontId="101" fillId="33" borderId="10" xfId="61" applyNumberFormat="1" applyFont="1" applyFill="1" applyBorder="1" applyAlignment="1">
      <alignment vertical="top" wrapText="1" readingOrder="1"/>
    </xf>
    <xf numFmtId="4" fontId="101" fillId="35" borderId="10" xfId="61" applyNumberFormat="1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horizontal="left" vertical="top" wrapText="1"/>
    </xf>
    <xf numFmtId="43" fontId="14" fillId="0" borderId="10" xfId="61" applyFont="1" applyBorder="1" applyAlignment="1">
      <alignment horizontal="center" vertical="top" textRotation="90" wrapText="1"/>
    </xf>
    <xf numFmtId="3" fontId="98" fillId="0" borderId="0" xfId="0" applyNumberFormat="1" applyFont="1" applyAlignment="1">
      <alignment/>
    </xf>
    <xf numFmtId="4" fontId="101" fillId="33" borderId="12" xfId="61" applyNumberFormat="1" applyFont="1" applyFill="1" applyBorder="1" applyAlignment="1">
      <alignment vertical="top" wrapText="1" readingOrder="1"/>
    </xf>
    <xf numFmtId="0" fontId="98" fillId="0" borderId="13" xfId="0" applyFont="1" applyBorder="1" applyAlignment="1">
      <alignment/>
    </xf>
    <xf numFmtId="4" fontId="101" fillId="33" borderId="14" xfId="61" applyNumberFormat="1" applyFont="1" applyFill="1" applyBorder="1" applyAlignment="1">
      <alignment vertical="top" wrapText="1" readingOrder="1"/>
    </xf>
    <xf numFmtId="0" fontId="98" fillId="0" borderId="0" xfId="0" applyFont="1" applyBorder="1" applyAlignment="1">
      <alignment/>
    </xf>
    <xf numFmtId="4" fontId="101" fillId="33" borderId="15" xfId="61" applyNumberFormat="1" applyFont="1" applyFill="1" applyBorder="1" applyAlignment="1">
      <alignment vertical="top" wrapText="1" readingOrder="1"/>
    </xf>
    <xf numFmtId="0" fontId="98" fillId="0" borderId="11" xfId="0" applyFont="1" applyBorder="1" applyAlignment="1">
      <alignment/>
    </xf>
    <xf numFmtId="0" fontId="9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top" wrapText="1"/>
    </xf>
    <xf numFmtId="184" fontId="13" fillId="0" borderId="16" xfId="61" applyNumberFormat="1" applyFont="1" applyBorder="1" applyAlignment="1">
      <alignment horizontal="center" vertical="top" textRotation="90" wrapText="1"/>
    </xf>
    <xf numFmtId="0" fontId="102" fillId="0" borderId="16" xfId="0" applyFont="1" applyFill="1" applyBorder="1" applyAlignment="1">
      <alignment horizontal="center" vertical="top" wrapText="1"/>
    </xf>
    <xf numFmtId="4" fontId="101" fillId="35" borderId="12" xfId="61" applyNumberFormat="1" applyFont="1" applyFill="1" applyBorder="1" applyAlignment="1">
      <alignment vertical="top" wrapText="1" readingOrder="1"/>
    </xf>
    <xf numFmtId="0" fontId="11" fillId="0" borderId="15" xfId="0" applyFont="1" applyFill="1" applyBorder="1" applyAlignment="1">
      <alignment horizontal="left" vertical="top" wrapText="1"/>
    </xf>
    <xf numFmtId="43" fontId="14" fillId="0" borderId="15" xfId="61" applyFont="1" applyBorder="1" applyAlignment="1">
      <alignment horizontal="center" vertical="top" textRotation="90" wrapText="1"/>
    </xf>
    <xf numFmtId="0" fontId="99" fillId="0" borderId="15" xfId="0" applyFont="1" applyFill="1" applyBorder="1" applyAlignment="1">
      <alignment horizontal="left" vertical="top" wrapText="1"/>
    </xf>
    <xf numFmtId="4" fontId="101" fillId="33" borderId="16" xfId="61" applyNumberFormat="1" applyFont="1" applyFill="1" applyBorder="1" applyAlignment="1">
      <alignment vertical="top" wrapText="1" readingOrder="1"/>
    </xf>
    <xf numFmtId="4" fontId="101" fillId="35" borderId="15" xfId="61" applyNumberFormat="1" applyFont="1" applyFill="1" applyBorder="1" applyAlignment="1">
      <alignment vertical="center" wrapText="1" readingOrder="1"/>
    </xf>
    <xf numFmtId="0" fontId="14" fillId="0" borderId="15" xfId="0" applyFont="1" applyBorder="1" applyAlignment="1">
      <alignment/>
    </xf>
    <xf numFmtId="0" fontId="98" fillId="0" borderId="15" xfId="0" applyFont="1" applyBorder="1" applyAlignment="1">
      <alignment/>
    </xf>
    <xf numFmtId="4" fontId="10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33" borderId="10" xfId="61" applyNumberFormat="1" applyFont="1" applyFill="1" applyBorder="1" applyAlignment="1">
      <alignment vertical="top" wrapText="1" readingOrder="1"/>
    </xf>
    <xf numFmtId="0" fontId="9" fillId="0" borderId="10" xfId="0" applyFont="1" applyBorder="1" applyAlignment="1">
      <alignment vertical="top" wrapText="1" readingOrder="1"/>
    </xf>
    <xf numFmtId="3" fontId="11" fillId="35" borderId="10" xfId="61" applyNumberFormat="1" applyFont="1" applyFill="1" applyBorder="1" applyAlignment="1">
      <alignment vertical="top" wrapText="1" readingOrder="1"/>
    </xf>
    <xf numFmtId="43" fontId="11" fillId="0" borderId="10" xfId="61" applyFont="1" applyBorder="1" applyAlignment="1">
      <alignment horizontal="center" vertical="top" textRotation="90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8" fillId="0" borderId="10" xfId="0" applyFont="1" applyBorder="1" applyAlignment="1">
      <alignment/>
    </xf>
    <xf numFmtId="3" fontId="9" fillId="35" borderId="10" xfId="61" applyNumberFormat="1" applyFont="1" applyFill="1" applyBorder="1" applyAlignment="1">
      <alignment vertical="top" wrapText="1" readingOrder="1"/>
    </xf>
    <xf numFmtId="0" fontId="9" fillId="0" borderId="14" xfId="0" applyFont="1" applyFill="1" applyBorder="1" applyAlignment="1">
      <alignment vertical="top" textRotation="90" wrapText="1"/>
    </xf>
    <xf numFmtId="184" fontId="9" fillId="0" borderId="16" xfId="61" applyNumberFormat="1" applyFont="1" applyBorder="1" applyAlignment="1">
      <alignment vertical="top" textRotation="90" wrapText="1"/>
    </xf>
    <xf numFmtId="0" fontId="9" fillId="0" borderId="16" xfId="0" applyFont="1" applyFill="1" applyBorder="1" applyAlignment="1">
      <alignment vertical="top" textRotation="90" wrapText="1"/>
    </xf>
    <xf numFmtId="0" fontId="9" fillId="0" borderId="15" xfId="0" applyFont="1" applyFill="1" applyBorder="1" applyAlignment="1">
      <alignment vertical="top" textRotation="90" wrapText="1"/>
    </xf>
    <xf numFmtId="0" fontId="104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 wrapText="1" readingOrder="1"/>
    </xf>
    <xf numFmtId="3" fontId="9" fillId="35" borderId="10" xfId="61" applyNumberFormat="1" applyFont="1" applyFill="1" applyBorder="1" applyAlignment="1">
      <alignment vertical="center" wrapText="1" readingOrder="1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105" fillId="0" borderId="10" xfId="0" applyFont="1" applyBorder="1" applyAlignment="1">
      <alignment horizontal="center" vertical="top"/>
    </xf>
    <xf numFmtId="0" fontId="105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vertical="center" textRotation="90"/>
    </xf>
    <xf numFmtId="0" fontId="105" fillId="0" borderId="10" xfId="0" applyFont="1" applyBorder="1" applyAlignment="1">
      <alignment vertical="center"/>
    </xf>
    <xf numFmtId="184" fontId="105" fillId="0" borderId="10" xfId="61" applyNumberFormat="1" applyFont="1" applyFill="1" applyBorder="1" applyAlignment="1">
      <alignment horizontal="left" vertical="top" wrapText="1"/>
    </xf>
    <xf numFmtId="3" fontId="105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left" vertical="top"/>
    </xf>
    <xf numFmtId="184" fontId="105" fillId="35" borderId="10" xfId="61" applyNumberFormat="1" applyFont="1" applyFill="1" applyBorder="1" applyAlignment="1">
      <alignment horizontal="center" vertical="top" wrapText="1"/>
    </xf>
    <xf numFmtId="184" fontId="105" fillId="35" borderId="14" xfId="61" applyNumberFormat="1" applyFont="1" applyFill="1" applyBorder="1" applyAlignment="1">
      <alignment horizontal="center" vertical="center" wrapText="1"/>
    </xf>
    <xf numFmtId="184" fontId="105" fillId="35" borderId="10" xfId="61" applyNumberFormat="1" applyFont="1" applyFill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left" vertical="top" wrapText="1"/>
    </xf>
    <xf numFmtId="3" fontId="105" fillId="0" borderId="10" xfId="0" applyNumberFormat="1" applyFont="1" applyBorder="1" applyAlignment="1">
      <alignment horizontal="right" vertical="center"/>
    </xf>
    <xf numFmtId="184" fontId="105" fillId="35" borderId="10" xfId="61" applyNumberFormat="1" applyFont="1" applyFill="1" applyBorder="1" applyAlignment="1">
      <alignment horizontal="right" vertical="center" wrapText="1"/>
    </xf>
    <xf numFmtId="3" fontId="105" fillId="0" borderId="10" xfId="0" applyNumberFormat="1" applyFont="1" applyBorder="1" applyAlignment="1">
      <alignment horizontal="center" vertical="center" textRotation="90"/>
    </xf>
    <xf numFmtId="184" fontId="105" fillId="35" borderId="14" xfId="61" applyNumberFormat="1" applyFont="1" applyFill="1" applyBorder="1" applyAlignment="1">
      <alignment vertical="center" wrapText="1"/>
    </xf>
    <xf numFmtId="0" fontId="105" fillId="0" borderId="15" xfId="0" applyFont="1" applyBorder="1" applyAlignment="1">
      <alignment horizontal="left" vertical="top" wrapText="1" indent="1"/>
    </xf>
    <xf numFmtId="17" fontId="105" fillId="0" borderId="10" xfId="0" applyNumberFormat="1" applyFont="1" applyBorder="1" applyAlignment="1">
      <alignment vertical="center" textRotation="90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left" vertical="center"/>
    </xf>
    <xf numFmtId="0" fontId="105" fillId="0" borderId="10" xfId="0" applyFont="1" applyBorder="1" applyAlignment="1">
      <alignment horizontal="left" vertical="center" textRotation="90" wrapText="1"/>
    </xf>
    <xf numFmtId="0" fontId="105" fillId="0" borderId="10" xfId="0" applyFont="1" applyBorder="1" applyAlignment="1">
      <alignment horizontal="left" vertical="center" textRotation="90"/>
    </xf>
    <xf numFmtId="0" fontId="105" fillId="0" borderId="10" xfId="0" applyFont="1" applyBorder="1" applyAlignment="1">
      <alignment horizontal="left" vertical="center" wrapText="1"/>
    </xf>
    <xf numFmtId="0" fontId="105" fillId="0" borderId="10" xfId="0" applyFont="1" applyBorder="1" applyAlignment="1">
      <alignment vertical="top" wrapText="1"/>
    </xf>
    <xf numFmtId="0" fontId="105" fillId="0" borderId="10" xfId="69" applyFont="1" applyBorder="1" applyAlignment="1">
      <alignment vertical="top" wrapText="1"/>
      <protection/>
    </xf>
    <xf numFmtId="0" fontId="105" fillId="0" borderId="10" xfId="0" applyFont="1" applyBorder="1" applyAlignment="1">
      <alignment horizontal="left" vertical="center"/>
    </xf>
    <xf numFmtId="17" fontId="105" fillId="0" borderId="10" xfId="0" applyNumberFormat="1" applyFont="1" applyBorder="1" applyAlignment="1">
      <alignment vertical="center" wrapText="1"/>
    </xf>
    <xf numFmtId="184" fontId="105" fillId="0" borderId="14" xfId="61" applyNumberFormat="1" applyFont="1" applyFill="1" applyBorder="1" applyAlignment="1">
      <alignment vertical="center" wrapText="1"/>
    </xf>
    <xf numFmtId="184" fontId="105" fillId="0" borderId="16" xfId="61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top" wrapText="1" indent="1"/>
    </xf>
    <xf numFmtId="0" fontId="17" fillId="33" borderId="10" xfId="0" applyFont="1" applyFill="1" applyBorder="1" applyAlignment="1">
      <alignment vertical="top" wrapText="1"/>
    </xf>
    <xf numFmtId="3" fontId="106" fillId="0" borderId="10" xfId="61" applyNumberFormat="1" applyFont="1" applyFill="1" applyBorder="1" applyAlignment="1">
      <alignment vertical="center" wrapText="1" readingOrder="1"/>
    </xf>
    <xf numFmtId="17" fontId="105" fillId="0" borderId="14" xfId="0" applyNumberFormat="1" applyFont="1" applyBorder="1" applyAlignment="1">
      <alignment vertical="center" textRotation="90" wrapText="1"/>
    </xf>
    <xf numFmtId="184" fontId="105" fillId="0" borderId="10" xfId="61" applyNumberFormat="1" applyFont="1" applyFill="1" applyBorder="1" applyAlignment="1">
      <alignment horizontal="left" vertical="center" wrapText="1"/>
    </xf>
    <xf numFmtId="184" fontId="105" fillId="0" borderId="10" xfId="61" applyNumberFormat="1" applyFont="1" applyFill="1" applyBorder="1" applyAlignment="1">
      <alignment vertical="center" wrapText="1"/>
    </xf>
    <xf numFmtId="49" fontId="105" fillId="0" borderId="10" xfId="61" applyNumberFormat="1" applyFont="1" applyFill="1" applyBorder="1" applyAlignment="1">
      <alignment horizontal="left" vertical="top" wrapText="1"/>
    </xf>
    <xf numFmtId="0" fontId="106" fillId="35" borderId="15" xfId="0" applyFont="1" applyFill="1" applyBorder="1" applyAlignment="1">
      <alignment horizontal="center" vertical="top" wrapText="1" readingOrder="1"/>
    </xf>
    <xf numFmtId="3" fontId="106" fillId="35" borderId="10" xfId="61" applyNumberFormat="1" applyFont="1" applyFill="1" applyBorder="1" applyAlignment="1">
      <alignment vertical="center" wrapText="1" readingOrder="1"/>
    </xf>
    <xf numFmtId="0" fontId="107" fillId="0" borderId="10" xfId="0" applyFont="1" applyFill="1" applyBorder="1" applyAlignment="1">
      <alignment horizontal="left" vertical="center" textRotation="90" wrapText="1"/>
    </xf>
    <xf numFmtId="0" fontId="107" fillId="0" borderId="10" xfId="0" applyFont="1" applyFill="1" applyBorder="1" applyAlignment="1">
      <alignment horizontal="left" vertical="center" wrapText="1"/>
    </xf>
    <xf numFmtId="43" fontId="108" fillId="0" borderId="10" xfId="61" applyFont="1" applyBorder="1" applyAlignment="1">
      <alignment horizontal="center" vertical="center" textRotation="90" wrapText="1"/>
    </xf>
    <xf numFmtId="0" fontId="109" fillId="0" borderId="0" xfId="0" applyFont="1" applyAlignment="1">
      <alignment/>
    </xf>
    <xf numFmtId="184" fontId="105" fillId="0" borderId="10" xfId="61" applyNumberFormat="1" applyFont="1" applyFill="1" applyBorder="1" applyAlignment="1">
      <alignment horizontal="left" vertical="top" wrapText="1" shrinkToFit="1"/>
    </xf>
    <xf numFmtId="184" fontId="105" fillId="35" borderId="10" xfId="61" applyNumberFormat="1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left" vertical="top" wrapText="1"/>
    </xf>
    <xf numFmtId="3" fontId="105" fillId="0" borderId="10" xfId="0" applyNumberFormat="1" applyFont="1" applyBorder="1" applyAlignment="1">
      <alignment horizontal="center" vertical="top"/>
    </xf>
    <xf numFmtId="0" fontId="105" fillId="0" borderId="10" xfId="0" applyFont="1" applyFill="1" applyBorder="1" applyAlignment="1">
      <alignment vertical="center" textRotation="90"/>
    </xf>
    <xf numFmtId="3" fontId="105" fillId="0" borderId="10" xfId="0" applyNumberFormat="1" applyFont="1" applyFill="1" applyBorder="1" applyAlignment="1">
      <alignment horizontal="left" vertical="top" wrapText="1"/>
    </xf>
    <xf numFmtId="3" fontId="105" fillId="0" borderId="10" xfId="0" applyNumberFormat="1" applyFont="1" applyFill="1" applyBorder="1" applyAlignment="1">
      <alignment horizontal="center" vertical="top"/>
    </xf>
    <xf numFmtId="0" fontId="105" fillId="0" borderId="10" xfId="0" applyFont="1" applyFill="1" applyBorder="1" applyAlignment="1">
      <alignment horizontal="center" vertical="center" textRotation="90"/>
    </xf>
    <xf numFmtId="3" fontId="105" fillId="0" borderId="10" xfId="0" applyNumberFormat="1" applyFont="1" applyFill="1" applyBorder="1" applyAlignment="1">
      <alignment horizontal="center" vertical="center" textRotation="90"/>
    </xf>
    <xf numFmtId="0" fontId="105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/>
    </xf>
    <xf numFmtId="3" fontId="105" fillId="36" borderId="10" xfId="0" applyNumberFormat="1" applyFont="1" applyFill="1" applyBorder="1" applyAlignment="1">
      <alignment horizontal="right" vertical="top" wrapText="1"/>
    </xf>
    <xf numFmtId="3" fontId="105" fillId="36" borderId="10" xfId="0" applyNumberFormat="1" applyFont="1" applyFill="1" applyBorder="1" applyAlignment="1">
      <alignment horizontal="center" vertical="top"/>
    </xf>
    <xf numFmtId="0" fontId="105" fillId="0" borderId="15" xfId="0" applyFont="1" applyBorder="1" applyAlignment="1">
      <alignment vertical="center" textRotation="90"/>
    </xf>
    <xf numFmtId="3" fontId="105" fillId="37" borderId="10" xfId="0" applyNumberFormat="1" applyFont="1" applyFill="1" applyBorder="1" applyAlignment="1">
      <alignment horizontal="right" vertical="top" wrapText="1"/>
    </xf>
    <xf numFmtId="3" fontId="105" fillId="37" borderId="10" xfId="0" applyNumberFormat="1" applyFont="1" applyFill="1" applyBorder="1" applyAlignment="1">
      <alignment horizontal="center" vertical="top"/>
    </xf>
    <xf numFmtId="3" fontId="105" fillId="37" borderId="10" xfId="0" applyNumberFormat="1" applyFont="1" applyFill="1" applyBorder="1" applyAlignment="1">
      <alignment horizontal="center" vertical="center"/>
    </xf>
    <xf numFmtId="3" fontId="105" fillId="38" borderId="10" xfId="0" applyNumberFormat="1" applyFont="1" applyFill="1" applyBorder="1" applyAlignment="1">
      <alignment horizontal="center" vertical="center" wrapText="1"/>
    </xf>
    <xf numFmtId="3" fontId="105" fillId="38" borderId="10" xfId="0" applyNumberFormat="1" applyFont="1" applyFill="1" applyBorder="1" applyAlignment="1">
      <alignment horizontal="center" vertical="center"/>
    </xf>
    <xf numFmtId="3" fontId="105" fillId="38" borderId="10" xfId="0" applyNumberFormat="1" applyFont="1" applyFill="1" applyBorder="1" applyAlignment="1">
      <alignment horizontal="left" vertical="top" textRotation="90"/>
    </xf>
    <xf numFmtId="3" fontId="105" fillId="38" borderId="10" xfId="0" applyNumberFormat="1" applyFont="1" applyFill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105" fillId="0" borderId="10" xfId="0" applyFont="1" applyBorder="1" applyAlignment="1">
      <alignment/>
    </xf>
    <xf numFmtId="0" fontId="105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10" fillId="0" borderId="0" xfId="0" applyFont="1" applyAlignment="1">
      <alignment/>
    </xf>
    <xf numFmtId="3" fontId="19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3" fontId="105" fillId="0" borderId="0" xfId="0" applyNumberFormat="1" applyFont="1" applyAlignment="1">
      <alignment/>
    </xf>
    <xf numFmtId="0" fontId="105" fillId="0" borderId="14" xfId="0" applyFont="1" applyBorder="1" applyAlignment="1">
      <alignment/>
    </xf>
    <xf numFmtId="0" fontId="105" fillId="0" borderId="16" xfId="0" applyFont="1" applyBorder="1" applyAlignment="1">
      <alignment/>
    </xf>
    <xf numFmtId="0" fontId="17" fillId="0" borderId="17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05" fillId="0" borderId="16" xfId="0" applyFont="1" applyBorder="1" applyAlignment="1">
      <alignment vertical="top"/>
    </xf>
    <xf numFmtId="0" fontId="105" fillId="0" borderId="16" xfId="0" applyFont="1" applyBorder="1" applyAlignment="1">
      <alignment vertical="top" wrapText="1"/>
    </xf>
    <xf numFmtId="0" fontId="111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112" fillId="35" borderId="10" xfId="0" applyNumberFormat="1" applyFont="1" applyFill="1" applyBorder="1" applyAlignment="1">
      <alignment horizontal="right" vertical="top"/>
    </xf>
    <xf numFmtId="0" fontId="113" fillId="0" borderId="0" xfId="0" applyFont="1" applyAlignment="1">
      <alignment wrapText="1"/>
    </xf>
    <xf numFmtId="0" fontId="113" fillId="0" borderId="0" xfId="0" applyFont="1" applyAlignment="1">
      <alignment vertical="top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03" fillId="0" borderId="0" xfId="0" applyNumberFormat="1" applyFont="1" applyAlignment="1">
      <alignment/>
    </xf>
    <xf numFmtId="0" fontId="114" fillId="0" borderId="0" xfId="0" applyNumberFormat="1" applyFont="1" applyAlignment="1">
      <alignment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3" fontId="112" fillId="35" borderId="18" xfId="0" applyNumberFormat="1" applyFont="1" applyFill="1" applyBorder="1" applyAlignment="1">
      <alignment horizontal="right" vertical="top"/>
    </xf>
    <xf numFmtId="3" fontId="112" fillId="33" borderId="18" xfId="0" applyNumberFormat="1" applyFont="1" applyFill="1" applyBorder="1" applyAlignment="1">
      <alignment horizontal="right" vertical="top"/>
    </xf>
    <xf numFmtId="3" fontId="115" fillId="35" borderId="10" xfId="61" applyNumberFormat="1" applyFont="1" applyFill="1" applyBorder="1" applyAlignment="1">
      <alignment vertical="center" wrapText="1" readingOrder="1"/>
    </xf>
    <xf numFmtId="0" fontId="111" fillId="0" borderId="0" xfId="0" applyFont="1" applyAlignment="1">
      <alignment/>
    </xf>
    <xf numFmtId="0" fontId="111" fillId="33" borderId="0" xfId="0" applyFont="1" applyFill="1" applyAlignment="1">
      <alignment/>
    </xf>
    <xf numFmtId="0" fontId="116" fillId="0" borderId="19" xfId="0" applyFont="1" applyBorder="1" applyAlignment="1">
      <alignment horizontal="left" vertical="top" wrapText="1"/>
    </xf>
    <xf numFmtId="3" fontId="116" fillId="39" borderId="19" xfId="0" applyNumberFormat="1" applyFont="1" applyFill="1" applyBorder="1" applyAlignment="1">
      <alignment horizontal="left" vertical="top" wrapText="1" readingOrder="1"/>
    </xf>
    <xf numFmtId="0" fontId="116" fillId="0" borderId="0" xfId="0" applyFont="1" applyAlignment="1">
      <alignment/>
    </xf>
    <xf numFmtId="0" fontId="111" fillId="0" borderId="0" xfId="0" applyFont="1" applyAlignment="1">
      <alignment/>
    </xf>
    <xf numFmtId="0" fontId="115" fillId="0" borderId="20" xfId="0" applyFont="1" applyFill="1" applyBorder="1" applyAlignment="1">
      <alignment horizontal="right" vertical="top" wrapText="1" readingOrder="1"/>
    </xf>
    <xf numFmtId="3" fontId="115" fillId="0" borderId="19" xfId="0" applyNumberFormat="1" applyFont="1" applyFill="1" applyBorder="1" applyAlignment="1">
      <alignment horizontal="right" vertical="top" wrapText="1" readingOrder="1"/>
    </xf>
    <xf numFmtId="0" fontId="112" fillId="33" borderId="19" xfId="0" applyFont="1" applyFill="1" applyBorder="1" applyAlignment="1">
      <alignment horizontal="left" vertical="top" wrapText="1"/>
    </xf>
    <xf numFmtId="187" fontId="112" fillId="33" borderId="21" xfId="0" applyNumberFormat="1" applyFont="1" applyFill="1" applyBorder="1" applyAlignment="1">
      <alignment horizontal="center" vertical="top" textRotation="90" wrapText="1"/>
    </xf>
    <xf numFmtId="3" fontId="98" fillId="33" borderId="19" xfId="0" applyNumberFormat="1" applyFont="1" applyFill="1" applyBorder="1" applyAlignment="1">
      <alignment horizontal="center" vertical="top" textRotation="90"/>
    </xf>
    <xf numFmtId="188" fontId="112" fillId="33" borderId="22" xfId="0" applyNumberFormat="1" applyFont="1" applyFill="1" applyBorder="1" applyAlignment="1">
      <alignment horizontal="center" vertical="top" textRotation="90" wrapText="1"/>
    </xf>
    <xf numFmtId="188" fontId="112" fillId="33" borderId="19" xfId="0" applyNumberFormat="1" applyFont="1" applyFill="1" applyBorder="1" applyAlignment="1">
      <alignment horizontal="center" vertical="top" textRotation="90" wrapText="1"/>
    </xf>
    <xf numFmtId="0" fontId="115" fillId="0" borderId="0" xfId="0" applyFont="1" applyAlignment="1">
      <alignment/>
    </xf>
    <xf numFmtId="0" fontId="112" fillId="0" borderId="0" xfId="0" applyFont="1" applyAlignment="1">
      <alignment/>
    </xf>
    <xf numFmtId="187" fontId="112" fillId="33" borderId="19" xfId="0" applyNumberFormat="1" applyFont="1" applyFill="1" applyBorder="1" applyAlignment="1">
      <alignment horizontal="center" vertical="top" textRotation="90" wrapText="1"/>
    </xf>
    <xf numFmtId="187" fontId="112" fillId="33" borderId="19" xfId="0" applyNumberFormat="1" applyFont="1" applyFill="1" applyBorder="1" applyAlignment="1">
      <alignment horizontal="center" vertical="top" textRotation="180" wrapText="1"/>
    </xf>
    <xf numFmtId="0" fontId="95" fillId="0" borderId="0" xfId="0" applyFont="1" applyAlignment="1">
      <alignment/>
    </xf>
    <xf numFmtId="3" fontId="9" fillId="0" borderId="10" xfId="61" applyNumberFormat="1" applyFont="1" applyFill="1" applyBorder="1" applyAlignment="1">
      <alignment vertical="top" wrapText="1" readingOrder="1"/>
    </xf>
    <xf numFmtId="3" fontId="9" fillId="0" borderId="10" xfId="61" applyNumberFormat="1" applyFont="1" applyFill="1" applyBorder="1" applyAlignment="1">
      <alignment horizontal="left" vertical="top" wrapText="1" readingOrder="1"/>
    </xf>
    <xf numFmtId="3" fontId="9" fillId="33" borderId="23" xfId="61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" fillId="0" borderId="10" xfId="69" applyFont="1" applyBorder="1" applyAlignment="1">
      <alignment horizontal="left" vertical="top" wrapText="1"/>
      <protection/>
    </xf>
    <xf numFmtId="3" fontId="9" fillId="0" borderId="10" xfId="69" applyNumberFormat="1" applyFont="1" applyBorder="1" applyAlignment="1">
      <alignment horizontal="left" vertical="top" wrapText="1"/>
      <protection/>
    </xf>
    <xf numFmtId="0" fontId="98" fillId="33" borderId="10" xfId="0" applyFont="1" applyFill="1" applyBorder="1" applyAlignment="1">
      <alignment horizontal="center" vertical="top" wrapText="1" shrinkToFit="1"/>
    </xf>
    <xf numFmtId="0" fontId="116" fillId="0" borderId="10" xfId="0" applyFont="1" applyBorder="1" applyAlignment="1">
      <alignment vertical="top" wrapText="1" readingOrder="1"/>
    </xf>
    <xf numFmtId="3" fontId="116" fillId="33" borderId="10" xfId="61" applyNumberFormat="1" applyFont="1" applyFill="1" applyBorder="1" applyAlignment="1">
      <alignment vertical="top" wrapText="1" readingOrder="1"/>
    </xf>
    <xf numFmtId="0" fontId="98" fillId="0" borderId="10" xfId="0" applyFont="1" applyFill="1" applyBorder="1" applyAlignment="1">
      <alignment vertical="top" textRotation="90" wrapText="1"/>
    </xf>
    <xf numFmtId="0" fontId="98" fillId="0" borderId="10" xfId="0" applyFont="1" applyFill="1" applyBorder="1" applyAlignment="1">
      <alignment vertical="top" wrapText="1"/>
    </xf>
    <xf numFmtId="184" fontId="98" fillId="0" borderId="10" xfId="61" applyNumberFormat="1" applyFont="1" applyBorder="1" applyAlignment="1">
      <alignment vertical="top" textRotation="90" wrapText="1"/>
    </xf>
    <xf numFmtId="43" fontId="98" fillId="0" borderId="10" xfId="61" applyFont="1" applyBorder="1" applyAlignment="1">
      <alignment vertical="top" textRotation="90" wrapText="1"/>
    </xf>
    <xf numFmtId="184" fontId="98" fillId="0" borderId="10" xfId="0" applyNumberFormat="1" applyFont="1" applyFill="1" applyBorder="1" applyAlignment="1">
      <alignment vertical="top" wrapText="1"/>
    </xf>
    <xf numFmtId="3" fontId="9" fillId="33" borderId="10" xfId="69" applyNumberFormat="1" applyFont="1" applyFill="1" applyBorder="1" applyAlignment="1">
      <alignment horizontal="left" vertical="top" wrapText="1"/>
      <protection/>
    </xf>
    <xf numFmtId="0" fontId="98" fillId="0" borderId="10" xfId="0" applyFont="1" applyFill="1" applyBorder="1" applyAlignment="1">
      <alignment horizontal="left" vertical="top" wrapText="1"/>
    </xf>
    <xf numFmtId="0" fontId="9" fillId="0" borderId="10" xfId="69" applyFont="1" applyBorder="1" applyAlignment="1">
      <alignment horizontal="center" vertical="top" wrapText="1"/>
      <protection/>
    </xf>
    <xf numFmtId="0" fontId="17" fillId="0" borderId="16" xfId="69" applyFont="1" applyBorder="1" applyAlignment="1">
      <alignment horizontal="left" vertical="top" wrapText="1"/>
      <protection/>
    </xf>
    <xf numFmtId="0" fontId="17" fillId="0" borderId="16" xfId="69" applyFont="1" applyBorder="1" applyAlignment="1">
      <alignment horizontal="center" vertical="top" wrapText="1"/>
      <protection/>
    </xf>
    <xf numFmtId="0" fontId="98" fillId="0" borderId="15" xfId="0" applyFont="1" applyFill="1" applyBorder="1" applyAlignment="1">
      <alignment horizontal="left" vertical="top" wrapText="1"/>
    </xf>
    <xf numFmtId="3" fontId="115" fillId="0" borderId="15" xfId="61" applyNumberFormat="1" applyFont="1" applyFill="1" applyBorder="1" applyAlignment="1">
      <alignment vertical="center" wrapText="1" readingOrder="1"/>
    </xf>
    <xf numFmtId="0" fontId="98" fillId="33" borderId="10" xfId="0" applyFont="1" applyFill="1" applyBorder="1" applyAlignment="1">
      <alignment/>
    </xf>
    <xf numFmtId="0" fontId="117" fillId="33" borderId="10" xfId="0" applyFont="1" applyFill="1" applyBorder="1" applyAlignment="1">
      <alignment horizontal="left"/>
    </xf>
    <xf numFmtId="184" fontId="118" fillId="33" borderId="10" xfId="0" applyNumberFormat="1" applyFont="1" applyFill="1" applyBorder="1" applyAlignment="1">
      <alignment/>
    </xf>
    <xf numFmtId="0" fontId="118" fillId="33" borderId="0" xfId="0" applyFont="1" applyFill="1" applyAlignment="1">
      <alignment/>
    </xf>
    <xf numFmtId="3" fontId="118" fillId="33" borderId="10" xfId="0" applyNumberFormat="1" applyFont="1" applyFill="1" applyBorder="1" applyAlignment="1">
      <alignment/>
    </xf>
    <xf numFmtId="0" fontId="117" fillId="33" borderId="10" xfId="0" applyFont="1" applyFill="1" applyBorder="1" applyAlignment="1">
      <alignment horizontal="center"/>
    </xf>
    <xf numFmtId="0" fontId="118" fillId="33" borderId="10" xfId="0" applyFont="1" applyFill="1" applyBorder="1" applyAlignment="1">
      <alignment/>
    </xf>
    <xf numFmtId="3" fontId="118" fillId="33" borderId="10" xfId="0" applyNumberFormat="1" applyFont="1" applyFill="1" applyBorder="1" applyAlignment="1">
      <alignment horizontal="right"/>
    </xf>
    <xf numFmtId="0" fontId="9" fillId="40" borderId="0" xfId="0" applyFont="1" applyFill="1" applyAlignment="1">
      <alignment/>
    </xf>
    <xf numFmtId="3" fontId="9" fillId="40" borderId="0" xfId="0" applyNumberFormat="1" applyFont="1" applyFill="1" applyAlignment="1">
      <alignment/>
    </xf>
    <xf numFmtId="184" fontId="118" fillId="33" borderId="0" xfId="61" applyNumberFormat="1" applyFont="1" applyFill="1" applyAlignment="1">
      <alignment/>
    </xf>
    <xf numFmtId="0" fontId="98" fillId="40" borderId="0" xfId="0" applyFont="1" applyFill="1" applyAlignment="1">
      <alignment/>
    </xf>
    <xf numFmtId="3" fontId="98" fillId="40" borderId="0" xfId="0" applyNumberFormat="1" applyFont="1" applyFill="1" applyAlignment="1">
      <alignment/>
    </xf>
    <xf numFmtId="0" fontId="119" fillId="41" borderId="0" xfId="0" applyFont="1" applyFill="1" applyAlignment="1">
      <alignment vertical="center"/>
    </xf>
    <xf numFmtId="0" fontId="119" fillId="41" borderId="0" xfId="0" applyFont="1" applyFill="1" applyAlignment="1">
      <alignment/>
    </xf>
    <xf numFmtId="184" fontId="110" fillId="0" borderId="0" xfId="0" applyNumberFormat="1" applyFont="1" applyAlignment="1">
      <alignment/>
    </xf>
    <xf numFmtId="3" fontId="116" fillId="35" borderId="10" xfId="61" applyNumberFormat="1" applyFont="1" applyFill="1" applyBorder="1" applyAlignment="1">
      <alignment vertical="center" wrapText="1" readingOrder="1"/>
    </xf>
    <xf numFmtId="0" fontId="10" fillId="0" borderId="11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8" fillId="0" borderId="16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05" fillId="0" borderId="15" xfId="0" applyFont="1" applyFill="1" applyBorder="1" applyAlignment="1">
      <alignment horizontal="left" vertical="top" wrapText="1"/>
    </xf>
    <xf numFmtId="0" fontId="105" fillId="0" borderId="15" xfId="69" applyFont="1" applyFill="1" applyBorder="1" applyAlignment="1">
      <alignment horizontal="left" vertical="top" wrapText="1"/>
      <protection/>
    </xf>
    <xf numFmtId="17" fontId="105" fillId="0" borderId="15" xfId="0" applyNumberFormat="1" applyFont="1" applyFill="1" applyBorder="1" applyAlignment="1">
      <alignment horizontal="center" vertical="center" textRotation="90" wrapText="1"/>
    </xf>
    <xf numFmtId="0" fontId="105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top" wrapText="1"/>
    </xf>
    <xf numFmtId="0" fontId="105" fillId="0" borderId="15" xfId="0" applyFont="1" applyFill="1" applyBorder="1" applyAlignment="1">
      <alignment horizontal="center" vertical="center" textRotation="90"/>
    </xf>
    <xf numFmtId="0" fontId="105" fillId="0" borderId="15" xfId="0" applyFont="1" applyBorder="1" applyAlignment="1">
      <alignment horizontal="center" vertical="center" textRotation="90"/>
    </xf>
    <xf numFmtId="43" fontId="17" fillId="0" borderId="14" xfId="61" applyFont="1" applyBorder="1" applyAlignment="1">
      <alignment horizontal="center" vertical="top" textRotation="90" wrapText="1"/>
    </xf>
    <xf numFmtId="43" fontId="17" fillId="0" borderId="16" xfId="61" applyFont="1" applyBorder="1" applyAlignment="1">
      <alignment horizontal="center" vertical="top" textRotation="90" wrapText="1"/>
    </xf>
    <xf numFmtId="0" fontId="105" fillId="0" borderId="14" xfId="0" applyFont="1" applyBorder="1" applyAlignment="1">
      <alignment horizontal="center" vertical="center" textRotation="90"/>
    </xf>
    <xf numFmtId="0" fontId="105" fillId="0" borderId="14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left" vertical="top" wrapText="1"/>
    </xf>
    <xf numFmtId="0" fontId="105" fillId="0" borderId="16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17" fillId="0" borderId="16" xfId="0" applyFont="1" applyFill="1" applyBorder="1" applyAlignment="1">
      <alignment horizontal="center" vertical="top" textRotation="90" wrapText="1"/>
    </xf>
    <xf numFmtId="0" fontId="17" fillId="0" borderId="15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05" fillId="0" borderId="16" xfId="0" applyFont="1" applyFill="1" applyBorder="1" applyAlignment="1">
      <alignment horizontal="center" vertical="top" wrapText="1"/>
    </xf>
    <xf numFmtId="0" fontId="105" fillId="0" borderId="15" xfId="0" applyFont="1" applyFill="1" applyBorder="1" applyAlignment="1">
      <alignment horizontal="center" vertical="top" wrapText="1"/>
    </xf>
    <xf numFmtId="0" fontId="105" fillId="33" borderId="15" xfId="0" applyFont="1" applyFill="1" applyBorder="1" applyAlignment="1">
      <alignment horizontal="left" vertical="top" wrapText="1"/>
    </xf>
    <xf numFmtId="0" fontId="105" fillId="0" borderId="10" xfId="0" applyFont="1" applyBorder="1" applyAlignment="1">
      <alignment horizontal="left" vertical="top" wrapText="1" indent="1"/>
    </xf>
    <xf numFmtId="0" fontId="105" fillId="0" borderId="10" xfId="0" applyFont="1" applyBorder="1" applyAlignment="1">
      <alignment horizontal="left" vertical="top" wrapText="1"/>
    </xf>
    <xf numFmtId="0" fontId="105" fillId="0" borderId="10" xfId="0" applyFont="1" applyBorder="1" applyAlignment="1">
      <alignment horizontal="center" vertical="center" textRotation="90"/>
    </xf>
    <xf numFmtId="17" fontId="105" fillId="0" borderId="10" xfId="0" applyNumberFormat="1" applyFont="1" applyBorder="1" applyAlignment="1">
      <alignment horizontal="center" vertical="center" textRotation="90" wrapText="1"/>
    </xf>
    <xf numFmtId="0" fontId="105" fillId="0" borderId="10" xfId="0" applyFont="1" applyBorder="1" applyAlignment="1">
      <alignment horizontal="center" vertical="top" textRotation="90"/>
    </xf>
    <xf numFmtId="0" fontId="17" fillId="0" borderId="25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20" fillId="0" borderId="0" xfId="0" applyFont="1" applyAlignment="1">
      <alignment/>
    </xf>
    <xf numFmtId="0" fontId="98" fillId="0" borderId="16" xfId="0" applyFont="1" applyFill="1" applyBorder="1" applyAlignment="1">
      <alignment horizontal="center" vertical="top" wrapText="1"/>
    </xf>
    <xf numFmtId="0" fontId="121" fillId="0" borderId="15" xfId="0" applyFont="1" applyFill="1" applyBorder="1" applyAlignment="1">
      <alignment horizontal="center" vertical="top" textRotation="90" wrapText="1"/>
    </xf>
    <xf numFmtId="43" fontId="121" fillId="0" borderId="16" xfId="61" applyFont="1" applyBorder="1" applyAlignment="1">
      <alignment horizontal="center" vertical="top" textRotation="90" wrapText="1"/>
    </xf>
    <xf numFmtId="0" fontId="116" fillId="35" borderId="15" xfId="0" applyFont="1" applyFill="1" applyBorder="1" applyAlignment="1">
      <alignment horizontal="center" vertical="top" wrapText="1" readingOrder="1"/>
    </xf>
    <xf numFmtId="3" fontId="116" fillId="35" borderId="10" xfId="61" applyNumberFormat="1" applyFont="1" applyFill="1" applyBorder="1" applyAlignment="1">
      <alignment vertical="top" wrapText="1" readingOrder="1"/>
    </xf>
    <xf numFmtId="0" fontId="112" fillId="0" borderId="10" xfId="0" applyFont="1" applyFill="1" applyBorder="1" applyAlignment="1">
      <alignment horizontal="left" vertical="top" wrapText="1"/>
    </xf>
    <xf numFmtId="43" fontId="122" fillId="0" borderId="10" xfId="61" applyFont="1" applyBorder="1" applyAlignment="1">
      <alignment horizontal="center" vertical="top" textRotation="90" wrapText="1"/>
    </xf>
    <xf numFmtId="43" fontId="122" fillId="0" borderId="14" xfId="61" applyFont="1" applyBorder="1" applyAlignment="1">
      <alignment horizontal="center" vertical="top" textRotation="90" wrapText="1"/>
    </xf>
    <xf numFmtId="0" fontId="112" fillId="0" borderId="14" xfId="0" applyFont="1" applyFill="1" applyBorder="1" applyAlignment="1">
      <alignment horizontal="left" vertical="top" wrapText="1"/>
    </xf>
    <xf numFmtId="0" fontId="98" fillId="0" borderId="14" xfId="0" applyFont="1" applyBorder="1" applyAlignment="1">
      <alignment/>
    </xf>
    <xf numFmtId="0" fontId="98" fillId="0" borderId="16" xfId="0" applyFont="1" applyBorder="1" applyAlignment="1">
      <alignment/>
    </xf>
    <xf numFmtId="0" fontId="116" fillId="35" borderId="10" xfId="0" applyFont="1" applyFill="1" applyBorder="1" applyAlignment="1">
      <alignment horizontal="center" vertical="top" wrapText="1" readingOrder="1"/>
    </xf>
    <xf numFmtId="0" fontId="121" fillId="0" borderId="15" xfId="0" applyFont="1" applyFill="1" applyBorder="1" applyAlignment="1">
      <alignment horizontal="center" vertical="top" wrapText="1"/>
    </xf>
    <xf numFmtId="43" fontId="121" fillId="0" borderId="14" xfId="61" applyFont="1" applyBorder="1" applyAlignment="1">
      <alignment horizontal="center" vertical="top" textRotation="90" wrapText="1"/>
    </xf>
    <xf numFmtId="0" fontId="115" fillId="35" borderId="10" xfId="0" applyFont="1" applyFill="1" applyBorder="1" applyAlignment="1">
      <alignment horizontal="center" vertical="center" wrapText="1" readingOrder="1"/>
    </xf>
    <xf numFmtId="0" fontId="112" fillId="0" borderId="10" xfId="0" applyFont="1" applyBorder="1" applyAlignment="1">
      <alignment/>
    </xf>
    <xf numFmtId="43" fontId="98" fillId="0" borderId="10" xfId="0" applyNumberFormat="1" applyFont="1" applyBorder="1" applyAlignment="1">
      <alignment/>
    </xf>
    <xf numFmtId="0" fontId="121" fillId="0" borderId="16" xfId="0" applyFont="1" applyFill="1" applyBorder="1" applyAlignment="1">
      <alignment vertical="top" textRotation="90" wrapText="1"/>
    </xf>
    <xf numFmtId="0" fontId="121" fillId="0" borderId="16" xfId="0" applyFont="1" applyFill="1" applyBorder="1" applyAlignment="1">
      <alignment vertical="top" wrapText="1"/>
    </xf>
    <xf numFmtId="0" fontId="121" fillId="0" borderId="14" xfId="0" applyFont="1" applyFill="1" applyBorder="1" applyAlignment="1">
      <alignment vertical="top" textRotation="90" wrapText="1"/>
    </xf>
    <xf numFmtId="0" fontId="98" fillId="0" borderId="15" xfId="0" applyFont="1" applyBorder="1" applyAlignment="1">
      <alignment vertical="top" wrapText="1" readingOrder="1"/>
    </xf>
    <xf numFmtId="0" fontId="17" fillId="0" borderId="10" xfId="0" applyFont="1" applyBorder="1" applyAlignment="1">
      <alignment vertical="top" wrapText="1" readingOrder="1"/>
    </xf>
    <xf numFmtId="3" fontId="17" fillId="33" borderId="10" xfId="61" applyNumberFormat="1" applyFont="1" applyFill="1" applyBorder="1" applyAlignment="1">
      <alignment vertical="top" wrapText="1" readingOrder="1"/>
    </xf>
    <xf numFmtId="0" fontId="106" fillId="0" borderId="10" xfId="0" applyFont="1" applyBorder="1" applyAlignment="1">
      <alignment vertical="top" wrapText="1" readingOrder="1"/>
    </xf>
    <xf numFmtId="3" fontId="106" fillId="33" borderId="10" xfId="61" applyNumberFormat="1" applyFont="1" applyFill="1" applyBorder="1" applyAlignment="1">
      <alignment vertical="top" wrapText="1" readingOrder="1"/>
    </xf>
    <xf numFmtId="0" fontId="17" fillId="0" borderId="14" xfId="0" applyFont="1" applyBorder="1" applyAlignment="1">
      <alignment vertical="top" wrapText="1" readingOrder="1"/>
    </xf>
    <xf numFmtId="0" fontId="105" fillId="7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21" fillId="0" borderId="10" xfId="0" applyFont="1" applyFill="1" applyBorder="1" applyAlignment="1">
      <alignment horizontal="center" vertical="top" wrapText="1"/>
    </xf>
    <xf numFmtId="43" fontId="121" fillId="0" borderId="10" xfId="61" applyFont="1" applyBorder="1" applyAlignment="1">
      <alignment horizontal="center" vertical="top" textRotation="90" wrapText="1"/>
    </xf>
    <xf numFmtId="184" fontId="9" fillId="0" borderId="15" xfId="61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21" fillId="0" borderId="10" xfId="0" applyFont="1" applyFill="1" applyBorder="1" applyAlignment="1">
      <alignment horizontal="center" vertical="top" textRotation="90" wrapText="1"/>
    </xf>
    <xf numFmtId="0" fontId="98" fillId="0" borderId="10" xfId="0" applyFont="1" applyFill="1" applyBorder="1" applyAlignment="1">
      <alignment horizontal="center" vertical="top" wrapText="1"/>
    </xf>
    <xf numFmtId="0" fontId="121" fillId="0" borderId="14" xfId="0" applyFont="1" applyFill="1" applyBorder="1" applyAlignment="1">
      <alignment horizontal="center" vertical="top" wrapText="1"/>
    </xf>
    <xf numFmtId="0" fontId="121" fillId="0" borderId="16" xfId="0" applyFont="1" applyFill="1" applyBorder="1" applyAlignment="1">
      <alignment horizontal="center" vertical="top" textRotation="90" wrapText="1"/>
    </xf>
    <xf numFmtId="184" fontId="9" fillId="0" borderId="14" xfId="61" applyNumberFormat="1" applyFont="1" applyFill="1" applyBorder="1" applyAlignment="1">
      <alignment vertical="top" wrapText="1"/>
    </xf>
    <xf numFmtId="0" fontId="116" fillId="0" borderId="15" xfId="0" applyFont="1" applyBorder="1" applyAlignment="1">
      <alignment vertical="top" wrapText="1" readingOrder="1"/>
    </xf>
    <xf numFmtId="0" fontId="121" fillId="0" borderId="14" xfId="0" applyFont="1" applyFill="1" applyBorder="1" applyAlignment="1">
      <alignment horizontal="center" vertical="top" textRotation="90" wrapText="1"/>
    </xf>
    <xf numFmtId="184" fontId="121" fillId="0" borderId="14" xfId="61" applyNumberFormat="1" applyFont="1" applyBorder="1" applyAlignment="1">
      <alignment horizontal="center" vertical="top" textRotation="90" wrapText="1"/>
    </xf>
    <xf numFmtId="184" fontId="122" fillId="0" borderId="10" xfId="61" applyNumberFormat="1" applyFont="1" applyBorder="1" applyAlignment="1">
      <alignment horizontal="center" vertical="top" textRotation="90" wrapText="1"/>
    </xf>
    <xf numFmtId="0" fontId="121" fillId="0" borderId="15" xfId="0" applyFont="1" applyFill="1" applyBorder="1" applyAlignment="1">
      <alignment vertical="top" textRotation="90" wrapText="1"/>
    </xf>
    <xf numFmtId="0" fontId="98" fillId="0" borderId="15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horizontal="center" vertical="top" wrapText="1" readingOrder="1"/>
    </xf>
    <xf numFmtId="3" fontId="116" fillId="0" borderId="10" xfId="61" applyNumberFormat="1" applyFont="1" applyFill="1" applyBorder="1" applyAlignment="1">
      <alignment vertical="top" wrapText="1" readingOrder="1"/>
    </xf>
    <xf numFmtId="0" fontId="9" fillId="0" borderId="10" xfId="0" applyFont="1" applyFill="1" applyBorder="1" applyAlignment="1">
      <alignment horizontal="center" vertical="top" textRotation="90" wrapText="1"/>
    </xf>
    <xf numFmtId="0" fontId="11" fillId="0" borderId="10" xfId="0" applyFont="1" applyFill="1" applyBorder="1" applyAlignment="1">
      <alignment horizontal="center" vertical="top" wrapText="1"/>
    </xf>
    <xf numFmtId="43" fontId="121" fillId="0" borderId="14" xfId="61" applyFont="1" applyBorder="1" applyAlignment="1">
      <alignment vertical="top" textRotation="90" wrapText="1"/>
    </xf>
    <xf numFmtId="43" fontId="121" fillId="0" borderId="16" xfId="61" applyFont="1" applyBorder="1" applyAlignment="1">
      <alignment vertical="top" textRotation="90" wrapText="1"/>
    </xf>
    <xf numFmtId="43" fontId="121" fillId="0" borderId="15" xfId="61" applyFont="1" applyBorder="1" applyAlignment="1">
      <alignment vertical="top" textRotation="90" wrapText="1"/>
    </xf>
    <xf numFmtId="0" fontId="115" fillId="35" borderId="10" xfId="0" applyFont="1" applyFill="1" applyBorder="1" applyAlignment="1">
      <alignment horizontal="center" vertical="top" wrapText="1" readingOrder="1"/>
    </xf>
    <xf numFmtId="0" fontId="11" fillId="0" borderId="10" xfId="0" applyFont="1" applyBorder="1" applyAlignment="1">
      <alignment vertical="top" textRotation="90"/>
    </xf>
    <xf numFmtId="0" fontId="9" fillId="0" borderId="16" xfId="0" applyFont="1" applyFill="1" applyBorder="1" applyAlignment="1">
      <alignment vertical="top" wrapText="1"/>
    </xf>
    <xf numFmtId="0" fontId="98" fillId="0" borderId="14" xfId="0" applyFont="1" applyFill="1" applyBorder="1" applyAlignment="1">
      <alignment vertical="top" wrapText="1"/>
    </xf>
    <xf numFmtId="0" fontId="98" fillId="0" borderId="16" xfId="0" applyFont="1" applyFill="1" applyBorder="1" applyAlignment="1">
      <alignment vertical="top" wrapText="1"/>
    </xf>
    <xf numFmtId="0" fontId="98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 readingOrder="1"/>
    </xf>
    <xf numFmtId="0" fontId="9" fillId="0" borderId="10" xfId="0" applyFont="1" applyFill="1" applyBorder="1" applyAlignment="1">
      <alignment horizontal="left" vertical="top" wrapText="1" readingOrder="1"/>
    </xf>
    <xf numFmtId="0" fontId="9" fillId="0" borderId="10" xfId="0" applyFont="1" applyBorder="1" applyAlignment="1">
      <alignment vertical="top" wrapText="1"/>
    </xf>
    <xf numFmtId="3" fontId="11" fillId="35" borderId="10" xfId="0" applyNumberFormat="1" applyFont="1" applyFill="1" applyBorder="1" applyAlignment="1">
      <alignment vertical="top" wrapText="1"/>
    </xf>
    <xf numFmtId="0" fontId="116" fillId="0" borderId="14" xfId="0" applyFont="1" applyBorder="1" applyAlignment="1">
      <alignment vertical="top" wrapText="1" readingOrder="1"/>
    </xf>
    <xf numFmtId="3" fontId="116" fillId="33" borderId="14" xfId="61" applyNumberFormat="1" applyFont="1" applyFill="1" applyBorder="1" applyAlignment="1">
      <alignment vertical="top" wrapText="1" readingOrder="1"/>
    </xf>
    <xf numFmtId="0" fontId="98" fillId="0" borderId="16" xfId="0" applyFont="1" applyFill="1" applyBorder="1" applyAlignment="1">
      <alignment horizontal="left" vertical="top" wrapText="1"/>
    </xf>
    <xf numFmtId="3" fontId="116" fillId="33" borderId="16" xfId="61" applyNumberFormat="1" applyFont="1" applyFill="1" applyBorder="1" applyAlignment="1">
      <alignment vertical="top" wrapText="1" readingOrder="1"/>
    </xf>
    <xf numFmtId="3" fontId="116" fillId="33" borderId="15" xfId="61" applyNumberFormat="1" applyFont="1" applyFill="1" applyBorder="1" applyAlignment="1">
      <alignment vertical="top" wrapText="1" readingOrder="1"/>
    </xf>
    <xf numFmtId="0" fontId="9" fillId="0" borderId="14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top"/>
    </xf>
    <xf numFmtId="0" fontId="107" fillId="0" borderId="0" xfId="0" applyFont="1" applyAlignment="1">
      <alignment horizontal="left" vertical="center"/>
    </xf>
    <xf numFmtId="0" fontId="116" fillId="0" borderId="14" xfId="0" applyFont="1" applyFill="1" applyBorder="1" applyAlignment="1">
      <alignment horizontal="center" vertical="top" wrapText="1" readingOrder="1"/>
    </xf>
    <xf numFmtId="0" fontId="116" fillId="0" borderId="15" xfId="0" applyFont="1" applyFill="1" applyBorder="1" applyAlignment="1">
      <alignment horizontal="center" vertical="top" wrapText="1" readingOrder="1"/>
    </xf>
    <xf numFmtId="184" fontId="98" fillId="0" borderId="15" xfId="61" applyNumberFormat="1" applyFont="1" applyBorder="1" applyAlignment="1">
      <alignment horizontal="center" vertical="center" wrapText="1"/>
    </xf>
    <xf numFmtId="184" fontId="98" fillId="0" borderId="15" xfId="61" applyNumberFormat="1" applyFont="1" applyBorder="1" applyAlignment="1">
      <alignment horizontal="center" vertical="top" wrapText="1"/>
    </xf>
    <xf numFmtId="17" fontId="121" fillId="0" borderId="15" xfId="0" applyNumberFormat="1" applyFont="1" applyFill="1" applyBorder="1" applyAlignment="1">
      <alignment horizontal="center" vertical="top" wrapText="1"/>
    </xf>
    <xf numFmtId="184" fontId="9" fillId="0" borderId="10" xfId="61" applyNumberFormat="1" applyFont="1" applyFill="1" applyBorder="1" applyAlignment="1">
      <alignment horizontal="center" vertical="top" wrapText="1"/>
    </xf>
    <xf numFmtId="0" fontId="116" fillId="0" borderId="10" xfId="0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/>
    </xf>
    <xf numFmtId="0" fontId="115" fillId="35" borderId="15" xfId="0" applyFont="1" applyFill="1" applyBorder="1" applyAlignment="1">
      <alignment horizontal="center" vertical="center" wrapText="1" readingOrder="1"/>
    </xf>
    <xf numFmtId="3" fontId="116" fillId="35" borderId="15" xfId="61" applyNumberFormat="1" applyFont="1" applyFill="1" applyBorder="1" applyAlignment="1">
      <alignment vertical="center" wrapText="1" readingOrder="1"/>
    </xf>
    <xf numFmtId="0" fontId="112" fillId="0" borderId="15" xfId="0" applyFont="1" applyBorder="1" applyAlignment="1">
      <alignment/>
    </xf>
    <xf numFmtId="43" fontId="122" fillId="0" borderId="15" xfId="61" applyFont="1" applyBorder="1" applyAlignment="1">
      <alignment horizontal="center" vertical="top" textRotation="90" wrapText="1"/>
    </xf>
    <xf numFmtId="0" fontId="98" fillId="0" borderId="0" xfId="0" applyFont="1" applyAlignment="1">
      <alignment vertical="center"/>
    </xf>
    <xf numFmtId="0" fontId="116" fillId="0" borderId="18" xfId="0" applyFont="1" applyBorder="1" applyAlignment="1">
      <alignment vertical="top" wrapText="1" readingOrder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textRotation="90" wrapText="1"/>
    </xf>
    <xf numFmtId="3" fontId="9" fillId="0" borderId="10" xfId="0" applyNumberFormat="1" applyFont="1" applyBorder="1" applyAlignment="1">
      <alignment horizontal="center" vertical="center" textRotation="90"/>
    </xf>
    <xf numFmtId="3" fontId="9" fillId="0" borderId="10" xfId="61" applyNumberFormat="1" applyFont="1" applyBorder="1" applyAlignment="1">
      <alignment horizontal="center" vertical="center" textRotation="90" wrapText="1"/>
    </xf>
    <xf numFmtId="0" fontId="116" fillId="35" borderId="14" xfId="0" applyFont="1" applyFill="1" applyBorder="1" applyAlignment="1">
      <alignment horizontal="center" vertical="top" wrapText="1" readingOrder="1"/>
    </xf>
    <xf numFmtId="3" fontId="116" fillId="35" borderId="14" xfId="61" applyNumberFormat="1" applyFont="1" applyFill="1" applyBorder="1" applyAlignment="1">
      <alignment vertical="top" wrapText="1" readingOrder="1"/>
    </xf>
    <xf numFmtId="0" fontId="116" fillId="33" borderId="14" xfId="0" applyFont="1" applyFill="1" applyBorder="1" applyAlignment="1">
      <alignment horizontal="left" vertical="center" wrapText="1" readingOrder="1"/>
    </xf>
    <xf numFmtId="0" fontId="116" fillId="33" borderId="16" xfId="0" applyFont="1" applyFill="1" applyBorder="1" applyAlignment="1">
      <alignment horizontal="left" vertical="center" wrapText="1" readingOrder="1"/>
    </xf>
    <xf numFmtId="0" fontId="116" fillId="33" borderId="15" xfId="0" applyFont="1" applyFill="1" applyBorder="1" applyAlignment="1">
      <alignment horizontal="left" vertical="center" wrapText="1" readingOrder="1"/>
    </xf>
    <xf numFmtId="0" fontId="116" fillId="35" borderId="10" xfId="0" applyFont="1" applyFill="1" applyBorder="1" applyAlignment="1">
      <alignment horizontal="center" vertical="center" wrapText="1" readingOrder="1"/>
    </xf>
    <xf numFmtId="0" fontId="115" fillId="33" borderId="10" xfId="0" applyFont="1" applyFill="1" applyBorder="1" applyAlignment="1">
      <alignment horizontal="left" vertical="top" wrapText="1" readingOrder="1"/>
    </xf>
    <xf numFmtId="0" fontId="116" fillId="33" borderId="14" xfId="0" applyFont="1" applyFill="1" applyBorder="1" applyAlignment="1">
      <alignment horizontal="left" vertical="top" wrapText="1" readingOrder="1"/>
    </xf>
    <xf numFmtId="0" fontId="116" fillId="33" borderId="16" xfId="0" applyFont="1" applyFill="1" applyBorder="1" applyAlignment="1">
      <alignment horizontal="left" vertical="top" wrapText="1" readingOrder="1"/>
    </xf>
    <xf numFmtId="0" fontId="9" fillId="33" borderId="16" xfId="0" applyFont="1" applyFill="1" applyBorder="1" applyAlignment="1">
      <alignment horizontal="left" vertical="top" wrapText="1" readingOrder="1"/>
    </xf>
    <xf numFmtId="3" fontId="9" fillId="33" borderId="16" xfId="61" applyNumberFormat="1" applyFont="1" applyFill="1" applyBorder="1" applyAlignment="1">
      <alignment vertical="top" wrapText="1" readingOrder="1"/>
    </xf>
    <xf numFmtId="0" fontId="9" fillId="33" borderId="15" xfId="0" applyFont="1" applyFill="1" applyBorder="1" applyAlignment="1">
      <alignment horizontal="left" vertical="top" wrapText="1" readingOrder="1"/>
    </xf>
    <xf numFmtId="3" fontId="116" fillId="33" borderId="10" xfId="61" applyNumberFormat="1" applyFont="1" applyFill="1" applyBorder="1" applyAlignment="1">
      <alignment horizontal="center" vertical="top" wrapText="1" readingOrder="1"/>
    </xf>
    <xf numFmtId="0" fontId="116" fillId="33" borderId="15" xfId="0" applyFont="1" applyFill="1" applyBorder="1" applyAlignment="1">
      <alignment horizontal="left" vertical="top" wrapText="1" readingOrder="1"/>
    </xf>
    <xf numFmtId="3" fontId="116" fillId="33" borderId="10" xfId="61" applyNumberFormat="1" applyFont="1" applyFill="1" applyBorder="1" applyAlignment="1">
      <alignment horizontal="right" vertical="center" wrapText="1" readingOrder="1"/>
    </xf>
    <xf numFmtId="0" fontId="116" fillId="33" borderId="10" xfId="0" applyFont="1" applyFill="1" applyBorder="1" applyAlignment="1">
      <alignment horizontal="left" vertical="top" wrapText="1" readingOrder="1"/>
    </xf>
    <xf numFmtId="0" fontId="116" fillId="33" borderId="10" xfId="0" applyFont="1" applyFill="1" applyBorder="1" applyAlignment="1">
      <alignment horizontal="center" vertical="top" wrapText="1" readingOrder="1"/>
    </xf>
    <xf numFmtId="0" fontId="98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vertical="center" textRotation="90"/>
    </xf>
    <xf numFmtId="0" fontId="98" fillId="0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/>
    </xf>
    <xf numFmtId="0" fontId="116" fillId="35" borderId="14" xfId="0" applyFont="1" applyFill="1" applyBorder="1" applyAlignment="1">
      <alignment horizontal="center" vertical="center" wrapText="1" readingOrder="1"/>
    </xf>
    <xf numFmtId="0" fontId="98" fillId="0" borderId="10" xfId="0" applyFont="1" applyBorder="1" applyAlignment="1">
      <alignment horizontal="center" vertical="center" textRotation="90"/>
    </xf>
    <xf numFmtId="17" fontId="98" fillId="0" borderId="1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7" fillId="0" borderId="0" xfId="0" applyFont="1" applyAlignment="1">
      <alignment vertical="center"/>
    </xf>
    <xf numFmtId="17" fontId="98" fillId="0" borderId="10" xfId="0" applyNumberFormat="1" applyFont="1" applyFill="1" applyBorder="1" applyAlignment="1">
      <alignment vertical="top" wrapText="1"/>
    </xf>
    <xf numFmtId="184" fontId="112" fillId="0" borderId="10" xfId="61" applyNumberFormat="1" applyFont="1" applyBorder="1" applyAlignment="1">
      <alignment horizontal="center" vertical="top" textRotation="90" wrapText="1"/>
    </xf>
    <xf numFmtId="17" fontId="112" fillId="0" borderId="14" xfId="0" applyNumberFormat="1" applyFont="1" applyFill="1" applyBorder="1" applyAlignment="1">
      <alignment horizontal="left" vertical="top" wrapText="1"/>
    </xf>
    <xf numFmtId="184" fontId="112" fillId="0" borderId="14" xfId="61" applyNumberFormat="1" applyFont="1" applyBorder="1" applyAlignment="1">
      <alignment horizontal="center" vertical="top" textRotation="90" wrapText="1"/>
    </xf>
    <xf numFmtId="17" fontId="112" fillId="0" borderId="10" xfId="0" applyNumberFormat="1" applyFont="1" applyFill="1" applyBorder="1" applyAlignment="1">
      <alignment horizontal="left" vertical="top" wrapText="1"/>
    </xf>
    <xf numFmtId="0" fontId="115" fillId="0" borderId="15" xfId="0" applyFont="1" applyFill="1" applyBorder="1" applyAlignment="1">
      <alignment horizontal="center" vertical="center" wrapText="1" readingOrder="1"/>
    </xf>
    <xf numFmtId="0" fontId="107" fillId="33" borderId="0" xfId="0" applyFont="1" applyFill="1" applyAlignment="1">
      <alignment/>
    </xf>
    <xf numFmtId="0" fontId="107" fillId="33" borderId="0" xfId="0" applyFont="1" applyFill="1" applyAlignment="1">
      <alignment horizontal="left" vertical="center"/>
    </xf>
    <xf numFmtId="0" fontId="104" fillId="33" borderId="10" xfId="0" applyFont="1" applyFill="1" applyBorder="1" applyAlignment="1">
      <alignment/>
    </xf>
    <xf numFmtId="0" fontId="104" fillId="33" borderId="0" xfId="0" applyFont="1" applyFill="1" applyAlignment="1">
      <alignment/>
    </xf>
    <xf numFmtId="0" fontId="123" fillId="33" borderId="0" xfId="0" applyFont="1" applyFill="1" applyAlignment="1">
      <alignment/>
    </xf>
    <xf numFmtId="0" fontId="104" fillId="0" borderId="0" xfId="0" applyFont="1" applyBorder="1" applyAlignment="1">
      <alignment/>
    </xf>
    <xf numFmtId="0" fontId="107" fillId="0" borderId="11" xfId="0" applyFont="1" applyBorder="1" applyAlignment="1">
      <alignment vertical="center"/>
    </xf>
    <xf numFmtId="0" fontId="105" fillId="0" borderId="10" xfId="0" applyFont="1" applyFill="1" applyBorder="1" applyAlignment="1">
      <alignment horizontal="center" vertical="top" wrapText="1"/>
    </xf>
    <xf numFmtId="0" fontId="107" fillId="0" borderId="10" xfId="0" applyFont="1" applyFill="1" applyBorder="1" applyAlignment="1">
      <alignment horizontal="center" vertical="top" wrapText="1"/>
    </xf>
    <xf numFmtId="184" fontId="105" fillId="0" borderId="15" xfId="61" applyNumberFormat="1" applyFont="1" applyFill="1" applyBorder="1" applyAlignment="1">
      <alignment horizontal="center" vertical="center" textRotation="90" wrapText="1"/>
    </xf>
    <xf numFmtId="0" fontId="105" fillId="0" borderId="14" xfId="0" applyFont="1" applyBorder="1" applyAlignment="1">
      <alignment vertical="top" wrapText="1"/>
    </xf>
    <xf numFmtId="0" fontId="105" fillId="0" borderId="15" xfId="0" applyFont="1" applyBorder="1" applyAlignment="1">
      <alignment vertical="top" wrapText="1"/>
    </xf>
    <xf numFmtId="0" fontId="107" fillId="0" borderId="10" xfId="0" applyFont="1" applyFill="1" applyBorder="1" applyAlignment="1">
      <alignment horizontal="left" vertical="top" wrapText="1"/>
    </xf>
    <xf numFmtId="3" fontId="17" fillId="33" borderId="10" xfId="61" applyNumberFormat="1" applyFont="1" applyFill="1" applyBorder="1" applyAlignment="1">
      <alignment horizontal="left" vertical="top" wrapText="1" readingOrder="1"/>
    </xf>
    <xf numFmtId="0" fontId="17" fillId="0" borderId="14" xfId="0" applyFont="1" applyFill="1" applyBorder="1" applyAlignment="1">
      <alignment vertical="top" textRotation="90"/>
    </xf>
    <xf numFmtId="17" fontId="17" fillId="0" borderId="16" xfId="0" applyNumberFormat="1" applyFont="1" applyFill="1" applyBorder="1" applyAlignment="1">
      <alignment vertical="top"/>
    </xf>
    <xf numFmtId="43" fontId="17" fillId="0" borderId="16" xfId="61" applyFont="1" applyBorder="1" applyAlignment="1">
      <alignment vertical="top" textRotation="90"/>
    </xf>
    <xf numFmtId="43" fontId="17" fillId="0" borderId="14" xfId="61" applyFont="1" applyBorder="1" applyAlignment="1">
      <alignment vertical="top" textRotation="90"/>
    </xf>
    <xf numFmtId="0" fontId="17" fillId="35" borderId="15" xfId="0" applyFont="1" applyFill="1" applyBorder="1" applyAlignment="1">
      <alignment horizontal="center" vertical="top" wrapText="1" readingOrder="1"/>
    </xf>
    <xf numFmtId="3" fontId="17" fillId="35" borderId="10" xfId="61" applyNumberFormat="1" applyFont="1" applyFill="1" applyBorder="1" applyAlignment="1">
      <alignment vertical="top" wrapText="1" readingOrder="1"/>
    </xf>
    <xf numFmtId="0" fontId="16" fillId="0" borderId="10" xfId="0" applyFont="1" applyFill="1" applyBorder="1" applyAlignment="1">
      <alignment horizontal="left" vertical="top" wrapText="1"/>
    </xf>
    <xf numFmtId="43" fontId="16" fillId="0" borderId="10" xfId="61" applyFont="1" applyBorder="1" applyAlignment="1">
      <alignment horizontal="center" vertical="top" textRotation="90" wrapText="1"/>
    </xf>
    <xf numFmtId="0" fontId="16" fillId="35" borderId="10" xfId="0" applyFont="1" applyFill="1" applyBorder="1" applyAlignment="1">
      <alignment horizontal="center" vertical="center" wrapText="1" readingOrder="1"/>
    </xf>
    <xf numFmtId="3" fontId="17" fillId="35" borderId="10" xfId="61" applyNumberFormat="1" applyFont="1" applyFill="1" applyBorder="1" applyAlignment="1">
      <alignment vertical="center" wrapText="1" readingOrder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3" fontId="17" fillId="0" borderId="15" xfId="61" applyFont="1" applyBorder="1" applyAlignment="1">
      <alignment horizontal="center" vertical="top" textRotation="90" wrapText="1"/>
    </xf>
    <xf numFmtId="3" fontId="106" fillId="35" borderId="10" xfId="61" applyNumberFormat="1" applyFont="1" applyFill="1" applyBorder="1" applyAlignment="1">
      <alignment vertical="top" wrapText="1" readingOrder="1"/>
    </xf>
    <xf numFmtId="0" fontId="124" fillId="35" borderId="10" xfId="0" applyFont="1" applyFill="1" applyBorder="1" applyAlignment="1">
      <alignment horizontal="center" vertical="center" wrapText="1" readingOrder="1"/>
    </xf>
    <xf numFmtId="0" fontId="105" fillId="0" borderId="0" xfId="0" applyFont="1" applyAlignment="1">
      <alignment horizontal="center" vertical="top"/>
    </xf>
    <xf numFmtId="3" fontId="105" fillId="0" borderId="15" xfId="0" applyNumberFormat="1" applyFont="1" applyBorder="1" applyAlignment="1">
      <alignment horizontal="center" vertical="top"/>
    </xf>
    <xf numFmtId="0" fontId="105" fillId="35" borderId="15" xfId="0" applyFont="1" applyFill="1" applyBorder="1" applyAlignment="1">
      <alignment horizontal="center" vertical="top" wrapText="1"/>
    </xf>
    <xf numFmtId="3" fontId="105" fillId="35" borderId="15" xfId="0" applyNumberFormat="1" applyFont="1" applyFill="1" applyBorder="1" applyAlignment="1">
      <alignment horizontal="center" vertical="top"/>
    </xf>
    <xf numFmtId="0" fontId="105" fillId="35" borderId="18" xfId="0" applyFont="1" applyFill="1" applyBorder="1" applyAlignment="1">
      <alignment horizontal="center" vertical="center"/>
    </xf>
    <xf numFmtId="43" fontId="107" fillId="35" borderId="10" xfId="0" applyNumberFormat="1" applyFont="1" applyFill="1" applyBorder="1" applyAlignment="1">
      <alignment vertical="center"/>
    </xf>
    <xf numFmtId="0" fontId="16" fillId="20" borderId="12" xfId="0" applyFont="1" applyFill="1" applyBorder="1" applyAlignment="1">
      <alignment horizontal="left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 shrinkToFit="1"/>
    </xf>
    <xf numFmtId="184" fontId="17" fillId="0" borderId="10" xfId="61" applyNumberFormat="1" applyFont="1" applyBorder="1" applyAlignment="1">
      <alignment horizontal="center" vertical="top" wrapText="1"/>
    </xf>
    <xf numFmtId="184" fontId="17" fillId="0" borderId="10" xfId="61" applyNumberFormat="1" applyFont="1" applyBorder="1" applyAlignment="1">
      <alignment horizontal="left" vertical="top" wrapText="1" indent="1"/>
    </xf>
    <xf numFmtId="0" fontId="17" fillId="35" borderId="10" xfId="0" applyFont="1" applyFill="1" applyBorder="1" applyAlignment="1">
      <alignment horizontal="center" vertical="top" wrapText="1" readingOrder="1"/>
    </xf>
    <xf numFmtId="0" fontId="17" fillId="0" borderId="16" xfId="0" applyFont="1" applyBorder="1" applyAlignment="1">
      <alignment horizontal="left" vertical="top" wrapText="1" shrinkToFit="1"/>
    </xf>
    <xf numFmtId="184" fontId="17" fillId="0" borderId="16" xfId="61" applyNumberFormat="1" applyFont="1" applyBorder="1" applyAlignment="1">
      <alignment horizontal="center" vertical="top" wrapText="1"/>
    </xf>
    <xf numFmtId="0" fontId="17" fillId="0" borderId="26" xfId="0" applyFont="1" applyBorder="1" applyAlignment="1">
      <alignment horizontal="left" vertical="top" wrapText="1" shrinkToFit="1"/>
    </xf>
    <xf numFmtId="184" fontId="17" fillId="0" borderId="26" xfId="61" applyNumberFormat="1" applyFont="1" applyBorder="1" applyAlignment="1">
      <alignment horizontal="center" vertical="top" wrapText="1"/>
    </xf>
    <xf numFmtId="0" fontId="16" fillId="0" borderId="25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 readingOrder="1"/>
    </xf>
    <xf numFmtId="3" fontId="17" fillId="0" borderId="10" xfId="61" applyNumberFormat="1" applyFont="1" applyFill="1" applyBorder="1" applyAlignment="1">
      <alignment vertical="top" wrapText="1" readingOrder="1"/>
    </xf>
    <xf numFmtId="0" fontId="17" fillId="0" borderId="14" xfId="0" applyFont="1" applyBorder="1" applyAlignment="1">
      <alignment/>
    </xf>
    <xf numFmtId="0" fontId="17" fillId="0" borderId="27" xfId="0" applyFont="1" applyBorder="1" applyAlignment="1">
      <alignment horizontal="left" vertical="top" wrapText="1" shrinkToFit="1"/>
    </xf>
    <xf numFmtId="43" fontId="17" fillId="0" borderId="27" xfId="61" applyFont="1" applyBorder="1" applyAlignment="1">
      <alignment vertical="top"/>
    </xf>
    <xf numFmtId="0" fontId="17" fillId="0" borderId="28" xfId="0" applyFont="1" applyBorder="1" applyAlignment="1">
      <alignment horizontal="left" vertical="top" wrapText="1" shrinkToFit="1"/>
    </xf>
    <xf numFmtId="43" fontId="17" fillId="0" borderId="28" xfId="61" applyFont="1" applyBorder="1" applyAlignment="1">
      <alignment vertical="top"/>
    </xf>
    <xf numFmtId="0" fontId="17" fillId="0" borderId="29" xfId="0" applyFont="1" applyBorder="1" applyAlignment="1">
      <alignment horizontal="left" vertical="top" wrapText="1" shrinkToFit="1"/>
    </xf>
    <xf numFmtId="43" fontId="17" fillId="0" borderId="29" xfId="61" applyFont="1" applyBorder="1" applyAlignment="1">
      <alignment vertical="top"/>
    </xf>
    <xf numFmtId="43" fontId="17" fillId="0" borderId="10" xfId="61" applyFont="1" applyBorder="1" applyAlignment="1">
      <alignment vertical="top"/>
    </xf>
    <xf numFmtId="0" fontId="20" fillId="0" borderId="0" xfId="0" applyFont="1" applyAlignment="1">
      <alignment/>
    </xf>
    <xf numFmtId="0" fontId="17" fillId="33" borderId="18" xfId="45" applyFont="1" applyFill="1" applyBorder="1" applyAlignment="1">
      <alignment vertical="top" wrapText="1"/>
      <protection/>
    </xf>
    <xf numFmtId="3" fontId="17" fillId="33" borderId="10" xfId="45" applyNumberFormat="1" applyFont="1" applyFill="1" applyBorder="1" applyAlignment="1">
      <alignment horizontal="center" vertical="center"/>
      <protection/>
    </xf>
    <xf numFmtId="0" fontId="17" fillId="33" borderId="10" xfId="45" applyFont="1" applyFill="1" applyBorder="1" applyAlignment="1">
      <alignment vertical="top" wrapText="1"/>
      <protection/>
    </xf>
    <xf numFmtId="3" fontId="17" fillId="33" borderId="10" xfId="45" applyNumberFormat="1" applyFont="1" applyFill="1" applyBorder="1" applyAlignment="1">
      <alignment horizontal="center" vertical="top" wrapText="1"/>
      <protection/>
    </xf>
    <xf numFmtId="184" fontId="17" fillId="0" borderId="14" xfId="61" applyNumberFormat="1" applyFont="1" applyBorder="1" applyAlignment="1">
      <alignment vertical="top" textRotation="90" wrapText="1"/>
    </xf>
    <xf numFmtId="184" fontId="17" fillId="0" borderId="16" xfId="61" applyNumberFormat="1" applyFont="1" applyBorder="1" applyAlignment="1">
      <alignment vertical="top" textRotation="90" wrapText="1"/>
    </xf>
    <xf numFmtId="184" fontId="17" fillId="0" borderId="15" xfId="61" applyNumberFormat="1" applyFont="1" applyBorder="1" applyAlignment="1">
      <alignment vertical="top" textRotation="90" wrapText="1"/>
    </xf>
    <xf numFmtId="0" fontId="17" fillId="35" borderId="15" xfId="0" applyFont="1" applyFill="1" applyBorder="1" applyAlignment="1">
      <alignment vertical="top" wrapText="1" readingOrder="1"/>
    </xf>
    <xf numFmtId="43" fontId="17" fillId="0" borderId="10" xfId="61" applyFont="1" applyBorder="1" applyAlignment="1">
      <alignment horizontal="center" vertical="top" textRotation="90" wrapText="1"/>
    </xf>
    <xf numFmtId="0" fontId="17" fillId="35" borderId="10" xfId="0" applyFont="1" applyFill="1" applyBorder="1" applyAlignment="1">
      <alignment horizontal="center" vertical="center" wrapText="1" readingOrder="1"/>
    </xf>
    <xf numFmtId="0" fontId="104" fillId="0" borderId="0" xfId="0" applyFont="1" applyAlignment="1">
      <alignment horizontal="left"/>
    </xf>
    <xf numFmtId="0" fontId="104" fillId="0" borderId="0" xfId="0" applyFont="1" applyAlignment="1">
      <alignment textRotation="90"/>
    </xf>
    <xf numFmtId="0" fontId="125" fillId="0" borderId="0" xfId="0" applyFont="1" applyAlignment="1">
      <alignment/>
    </xf>
    <xf numFmtId="0" fontId="125" fillId="0" borderId="0" xfId="0" applyFont="1" applyAlignment="1">
      <alignment textRotation="90"/>
    </xf>
    <xf numFmtId="0" fontId="98" fillId="33" borderId="0" xfId="0" applyFont="1" applyFill="1" applyAlignment="1">
      <alignment/>
    </xf>
    <xf numFmtId="0" fontId="115" fillId="0" borderId="15" xfId="0" applyFont="1" applyFill="1" applyBorder="1" applyAlignment="1">
      <alignment horizontal="right" vertical="top" wrapText="1" readingOrder="1"/>
    </xf>
    <xf numFmtId="3" fontId="115" fillId="0" borderId="10" xfId="61" applyNumberFormat="1" applyFont="1" applyFill="1" applyBorder="1" applyAlignment="1">
      <alignment horizontal="right" vertical="top" wrapText="1" readingOrder="1"/>
    </xf>
    <xf numFmtId="0" fontId="112" fillId="33" borderId="10" xfId="0" applyFont="1" applyFill="1" applyBorder="1" applyAlignment="1">
      <alignment horizontal="left" vertical="top" wrapText="1"/>
    </xf>
    <xf numFmtId="43" fontId="112" fillId="33" borderId="10" xfId="61" applyFont="1" applyFill="1" applyBorder="1" applyAlignment="1">
      <alignment horizontal="center" vertical="top" textRotation="90" wrapText="1"/>
    </xf>
    <xf numFmtId="0" fontId="115" fillId="19" borderId="10" xfId="0" applyFont="1" applyFill="1" applyBorder="1" applyAlignment="1">
      <alignment horizontal="center" vertical="center" wrapText="1" readingOrder="1"/>
    </xf>
    <xf numFmtId="3" fontId="115" fillId="19" borderId="10" xfId="61" applyNumberFormat="1" applyFont="1" applyFill="1" applyBorder="1" applyAlignment="1">
      <alignment vertical="center" wrapText="1" readingOrder="1"/>
    </xf>
    <xf numFmtId="0" fontId="112" fillId="33" borderId="10" xfId="0" applyFont="1" applyFill="1" applyBorder="1" applyAlignment="1">
      <alignment/>
    </xf>
    <xf numFmtId="0" fontId="94" fillId="33" borderId="0" xfId="0" applyFont="1" applyFill="1" applyAlignment="1">
      <alignment/>
    </xf>
    <xf numFmtId="0" fontId="121" fillId="0" borderId="14" xfId="0" applyFont="1" applyFill="1" applyBorder="1" applyAlignment="1">
      <alignment vertical="top" wrapText="1"/>
    </xf>
    <xf numFmtId="184" fontId="121" fillId="0" borderId="14" xfId="61" applyNumberFormat="1" applyFont="1" applyBorder="1" applyAlignment="1">
      <alignment vertical="top" textRotation="90" wrapText="1"/>
    </xf>
    <xf numFmtId="184" fontId="98" fillId="0" borderId="14" xfId="0" applyNumberFormat="1" applyFont="1" applyFill="1" applyBorder="1" applyAlignment="1">
      <alignment vertical="top" wrapText="1"/>
    </xf>
    <xf numFmtId="0" fontId="121" fillId="0" borderId="15" xfId="0" applyFont="1" applyFill="1" applyBorder="1" applyAlignment="1">
      <alignment vertical="top" wrapText="1"/>
    </xf>
    <xf numFmtId="184" fontId="121" fillId="0" borderId="16" xfId="61" applyNumberFormat="1" applyFont="1" applyBorder="1" applyAlignment="1">
      <alignment vertical="top" textRotation="90" wrapText="1"/>
    </xf>
    <xf numFmtId="184" fontId="122" fillId="0" borderId="14" xfId="61" applyNumberFormat="1" applyFont="1" applyBorder="1" applyAlignment="1">
      <alignment horizontal="center" vertical="top" textRotation="90" wrapText="1"/>
    </xf>
    <xf numFmtId="184" fontId="98" fillId="0" borderId="14" xfId="0" applyNumberFormat="1" applyFont="1" applyBorder="1" applyAlignment="1">
      <alignment/>
    </xf>
    <xf numFmtId="184" fontId="98" fillId="0" borderId="16" xfId="0" applyNumberFormat="1" applyFont="1" applyBorder="1" applyAlignment="1">
      <alignment/>
    </xf>
    <xf numFmtId="0" fontId="98" fillId="0" borderId="30" xfId="0" applyFont="1" applyBorder="1" applyAlignment="1">
      <alignment/>
    </xf>
    <xf numFmtId="0" fontId="98" fillId="0" borderId="18" xfId="0" applyFont="1" applyBorder="1" applyAlignment="1">
      <alignment/>
    </xf>
    <xf numFmtId="184" fontId="98" fillId="0" borderId="10" xfId="0" applyNumberFormat="1" applyFont="1" applyBorder="1" applyAlignment="1">
      <alignment/>
    </xf>
    <xf numFmtId="0" fontId="98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textRotation="90" wrapText="1"/>
    </xf>
    <xf numFmtId="0" fontId="107" fillId="20" borderId="14" xfId="0" applyNumberFormat="1" applyFont="1" applyFill="1" applyBorder="1" applyAlignment="1">
      <alignment vertical="center" wrapText="1"/>
    </xf>
    <xf numFmtId="0" fontId="107" fillId="20" borderId="15" xfId="0" applyNumberFormat="1" applyFont="1" applyFill="1" applyBorder="1" applyAlignment="1">
      <alignment vertical="center" wrapText="1"/>
    </xf>
    <xf numFmtId="184" fontId="98" fillId="33" borderId="10" xfId="61" applyNumberFormat="1" applyFont="1" applyFill="1" applyBorder="1" applyAlignment="1">
      <alignment horizontal="right" vertical="top" wrapText="1"/>
    </xf>
    <xf numFmtId="184" fontId="98" fillId="33" borderId="10" xfId="61" applyNumberFormat="1" applyFont="1" applyFill="1" applyBorder="1" applyAlignment="1">
      <alignment horizontal="center" vertical="top"/>
    </xf>
    <xf numFmtId="0" fontId="98" fillId="0" borderId="10" xfId="0" applyFont="1" applyBorder="1" applyAlignment="1">
      <alignment horizontal="left" vertical="top" wrapText="1" shrinkToFit="1"/>
    </xf>
    <xf numFmtId="184" fontId="98" fillId="0" borderId="10" xfId="61" applyNumberFormat="1" applyFont="1" applyBorder="1" applyAlignment="1">
      <alignment horizontal="center" vertical="top"/>
    </xf>
    <xf numFmtId="184" fontId="112" fillId="35" borderId="15" xfId="0" applyNumberFormat="1" applyFont="1" applyFill="1" applyBorder="1" applyAlignment="1">
      <alignment horizontal="center" vertical="center" wrapText="1"/>
    </xf>
    <xf numFmtId="0" fontId="98" fillId="0" borderId="16" xfId="69" applyFont="1" applyBorder="1" applyAlignment="1">
      <alignment horizontal="center" vertical="top"/>
      <protection/>
    </xf>
    <xf numFmtId="184" fontId="98" fillId="33" borderId="10" xfId="61" applyNumberFormat="1" applyFont="1" applyFill="1" applyBorder="1" applyAlignment="1">
      <alignment horizontal="left" vertical="center"/>
    </xf>
    <xf numFmtId="186" fontId="9" fillId="0" borderId="14" xfId="0" applyNumberFormat="1" applyFont="1" applyBorder="1" applyAlignment="1">
      <alignment horizontal="left" vertical="center" wrapText="1"/>
    </xf>
    <xf numFmtId="0" fontId="9" fillId="0" borderId="14" xfId="61" applyNumberFormat="1" applyFont="1" applyBorder="1" applyAlignment="1">
      <alignment horizontal="center" vertical="top" textRotation="90" wrapText="1"/>
    </xf>
    <xf numFmtId="0" fontId="11" fillId="0" borderId="14" xfId="61" applyNumberFormat="1" applyFont="1" applyBorder="1" applyAlignment="1">
      <alignment horizontal="center" vertical="center" textRotation="90" wrapText="1"/>
    </xf>
    <xf numFmtId="0" fontId="11" fillId="0" borderId="14" xfId="61" applyNumberFormat="1" applyFont="1" applyBorder="1" applyAlignment="1">
      <alignment horizontal="center" vertical="top" textRotation="90" wrapText="1"/>
    </xf>
    <xf numFmtId="186" fontId="9" fillId="0" borderId="16" xfId="0" applyNumberFormat="1" applyFont="1" applyBorder="1" applyAlignment="1">
      <alignment horizontal="left" vertical="center" wrapText="1"/>
    </xf>
    <xf numFmtId="0" fontId="9" fillId="0" borderId="16" xfId="61" applyNumberFormat="1" applyFont="1" applyBorder="1" applyAlignment="1">
      <alignment horizontal="center" vertical="top" textRotation="90" wrapText="1"/>
    </xf>
    <xf numFmtId="0" fontId="11" fillId="0" borderId="16" xfId="61" applyNumberFormat="1" applyFont="1" applyBorder="1" applyAlignment="1">
      <alignment horizontal="center" vertical="center" textRotation="90" wrapText="1"/>
    </xf>
    <xf numFmtId="0" fontId="11" fillId="0" borderId="16" xfId="61" applyNumberFormat="1" applyFont="1" applyBorder="1" applyAlignment="1">
      <alignment horizontal="center" vertical="top" textRotation="90" wrapText="1"/>
    </xf>
    <xf numFmtId="0" fontId="98" fillId="0" borderId="16" xfId="0" applyFont="1" applyBorder="1" applyAlignment="1">
      <alignment vertical="top" wrapText="1"/>
    </xf>
    <xf numFmtId="1" fontId="98" fillId="0" borderId="16" xfId="0" applyNumberFormat="1" applyFont="1" applyBorder="1" applyAlignment="1">
      <alignment horizontal="right" vertical="top"/>
    </xf>
    <xf numFmtId="0" fontId="9" fillId="0" borderId="16" xfId="0" applyNumberFormat="1" applyFont="1" applyFill="1" applyBorder="1" applyAlignment="1">
      <alignment horizontal="center" vertical="top" wrapText="1"/>
    </xf>
    <xf numFmtId="3" fontId="115" fillId="35" borderId="10" xfId="61" applyNumberFormat="1" applyFont="1" applyFill="1" applyBorder="1" applyAlignment="1">
      <alignment vertical="top" wrapText="1" readingOrder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5" xfId="61" applyNumberFormat="1" applyFont="1" applyBorder="1" applyAlignment="1">
      <alignment horizontal="center" vertical="top" textRotation="90" wrapText="1"/>
    </xf>
    <xf numFmtId="0" fontId="11" fillId="0" borderId="15" xfId="61" applyNumberFormat="1" applyFont="1" applyBorder="1" applyAlignment="1">
      <alignment horizontal="center" vertical="center" textRotation="90" wrapText="1"/>
    </xf>
    <xf numFmtId="0" fontId="11" fillId="0" borderId="15" xfId="61" applyNumberFormat="1" applyFont="1" applyBorder="1" applyAlignment="1">
      <alignment horizontal="center" vertical="top" textRotation="90" wrapText="1"/>
    </xf>
    <xf numFmtId="15" fontId="9" fillId="0" borderId="16" xfId="0" applyNumberFormat="1" applyFont="1" applyFill="1" applyBorder="1" applyAlignment="1">
      <alignment horizontal="center" vertical="top" wrapText="1"/>
    </xf>
    <xf numFmtId="0" fontId="9" fillId="0" borderId="15" xfId="61" applyNumberFormat="1" applyFont="1" applyBorder="1" applyAlignment="1">
      <alignment horizontal="center" vertical="center" textRotation="90" wrapText="1"/>
    </xf>
    <xf numFmtId="0" fontId="98" fillId="0" borderId="10" xfId="0" applyFont="1" applyBorder="1" applyAlignment="1">
      <alignment horizontal="left" wrapText="1"/>
    </xf>
    <xf numFmtId="186" fontId="9" fillId="0" borderId="14" xfId="0" applyNumberFormat="1" applyFont="1" applyBorder="1" applyAlignment="1">
      <alignment horizontal="center" vertical="top"/>
    </xf>
    <xf numFmtId="3" fontId="9" fillId="0" borderId="14" xfId="61" applyNumberFormat="1" applyFont="1" applyBorder="1" applyAlignment="1">
      <alignment horizontal="center" vertical="center" textRotation="90"/>
    </xf>
    <xf numFmtId="184" fontId="98" fillId="33" borderId="10" xfId="61" applyNumberFormat="1" applyFont="1" applyFill="1" applyBorder="1" applyAlignment="1">
      <alignment horizontal="center" vertical="center"/>
    </xf>
    <xf numFmtId="3" fontId="9" fillId="0" borderId="16" xfId="61" applyNumberFormat="1" applyFont="1" applyBorder="1" applyAlignment="1">
      <alignment horizontal="center" vertical="center" textRotation="90"/>
    </xf>
    <xf numFmtId="184" fontId="11" fillId="35" borderId="18" xfId="0" applyNumberFormat="1" applyFont="1" applyFill="1" applyBorder="1" applyAlignment="1">
      <alignment vertical="top" wrapText="1"/>
    </xf>
    <xf numFmtId="3" fontId="9" fillId="0" borderId="15" xfId="61" applyNumberFormat="1" applyFont="1" applyBorder="1" applyAlignment="1">
      <alignment horizontal="center" vertical="center" textRotation="90"/>
    </xf>
    <xf numFmtId="0" fontId="98" fillId="33" borderId="10" xfId="0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121" fillId="0" borderId="14" xfId="61" applyNumberFormat="1" applyFont="1" applyBorder="1" applyAlignment="1">
      <alignment horizontal="center" vertical="top" textRotation="90" wrapText="1"/>
    </xf>
    <xf numFmtId="0" fontId="122" fillId="0" borderId="14" xfId="61" applyNumberFormat="1" applyFont="1" applyBorder="1" applyAlignment="1">
      <alignment horizontal="center" vertical="top" textRotation="90" wrapText="1"/>
    </xf>
    <xf numFmtId="3" fontId="121" fillId="0" borderId="14" xfId="61" applyNumberFormat="1" applyFont="1" applyBorder="1" applyAlignment="1">
      <alignment horizontal="center" vertical="center" textRotation="90"/>
    </xf>
    <xf numFmtId="0" fontId="121" fillId="0" borderId="16" xfId="61" applyNumberFormat="1" applyFont="1" applyBorder="1" applyAlignment="1">
      <alignment horizontal="center" vertical="top" textRotation="90" wrapText="1"/>
    </xf>
    <xf numFmtId="0" fontId="122" fillId="0" borderId="16" xfId="61" applyNumberFormat="1" applyFont="1" applyBorder="1" applyAlignment="1">
      <alignment horizontal="center" vertical="top" textRotation="90" wrapText="1"/>
    </xf>
    <xf numFmtId="3" fontId="121" fillId="0" borderId="16" xfId="61" applyNumberFormat="1" applyFont="1" applyBorder="1" applyAlignment="1">
      <alignment horizontal="center" vertical="center" textRotation="90"/>
    </xf>
    <xf numFmtId="0" fontId="11" fillId="0" borderId="15" xfId="0" applyNumberFormat="1" applyFont="1" applyBorder="1" applyAlignment="1">
      <alignment/>
    </xf>
    <xf numFmtId="3" fontId="11" fillId="0" borderId="15" xfId="61" applyNumberFormat="1" applyFont="1" applyBorder="1" applyAlignment="1">
      <alignment horizontal="center" vertical="top" textRotation="90" wrapText="1"/>
    </xf>
    <xf numFmtId="0" fontId="9" fillId="0" borderId="15" xfId="0" applyNumberFormat="1" applyFont="1" applyBorder="1" applyAlignment="1">
      <alignment/>
    </xf>
    <xf numFmtId="0" fontId="98" fillId="0" borderId="0" xfId="0" applyNumberFormat="1" applyFont="1" applyAlignment="1">
      <alignment/>
    </xf>
    <xf numFmtId="0" fontId="104" fillId="0" borderId="0" xfId="0" applyNumberFormat="1" applyFont="1" applyAlignment="1">
      <alignment/>
    </xf>
    <xf numFmtId="0" fontId="9" fillId="0" borderId="30" xfId="0" applyFont="1" applyBorder="1" applyAlignment="1">
      <alignment vertical="top" wrapText="1"/>
    </xf>
    <xf numFmtId="3" fontId="98" fillId="0" borderId="10" xfId="0" applyNumberFormat="1" applyFont="1" applyBorder="1" applyAlignment="1">
      <alignment horizontal="right" vertical="top"/>
    </xf>
    <xf numFmtId="15" fontId="9" fillId="0" borderId="24" xfId="0" applyNumberFormat="1" applyFont="1" applyFill="1" applyBorder="1" applyAlignment="1">
      <alignment horizontal="center" vertical="top" wrapText="1"/>
    </xf>
    <xf numFmtId="0" fontId="11" fillId="0" borderId="13" xfId="61" applyNumberFormat="1" applyFont="1" applyBorder="1" applyAlignment="1">
      <alignment horizontal="center" vertical="center" textRotation="90" wrapText="1"/>
    </xf>
    <xf numFmtId="0" fontId="122" fillId="0" borderId="13" xfId="61" applyNumberFormat="1" applyFont="1" applyBorder="1" applyAlignment="1">
      <alignment horizontal="center" vertical="top" textRotation="90" wrapText="1"/>
    </xf>
    <xf numFmtId="0" fontId="121" fillId="0" borderId="13" xfId="61" applyNumberFormat="1" applyFont="1" applyBorder="1" applyAlignment="1">
      <alignment horizontal="center" vertical="top" textRotation="90" wrapText="1"/>
    </xf>
    <xf numFmtId="0" fontId="9" fillId="0" borderId="11" xfId="0" applyFont="1" applyBorder="1" applyAlignment="1">
      <alignment horizontal="left" vertical="top" wrapText="1"/>
    </xf>
    <xf numFmtId="3" fontId="98" fillId="0" borderId="15" xfId="0" applyNumberFormat="1" applyFont="1" applyBorder="1" applyAlignment="1">
      <alignment horizontal="right" vertical="top"/>
    </xf>
    <xf numFmtId="15" fontId="9" fillId="0" borderId="25" xfId="0" applyNumberFormat="1" applyFont="1" applyFill="1" applyBorder="1" applyAlignment="1">
      <alignment horizontal="center" vertical="top" wrapText="1"/>
    </xf>
    <xf numFmtId="0" fontId="121" fillId="0" borderId="25" xfId="61" applyNumberFormat="1" applyFont="1" applyBorder="1" applyAlignment="1">
      <alignment horizontal="center" vertical="top" textRotation="90" wrapText="1"/>
    </xf>
    <xf numFmtId="0" fontId="122" fillId="0" borderId="25" xfId="61" applyNumberFormat="1" applyFont="1" applyBorder="1" applyAlignment="1">
      <alignment horizontal="center" vertical="top" textRotation="90" wrapText="1"/>
    </xf>
    <xf numFmtId="3" fontId="98" fillId="0" borderId="16" xfId="0" applyNumberFormat="1" applyFont="1" applyBorder="1" applyAlignment="1">
      <alignment horizontal="right" vertical="top"/>
    </xf>
    <xf numFmtId="0" fontId="121" fillId="0" borderId="15" xfId="61" applyNumberFormat="1" applyFont="1" applyBorder="1" applyAlignment="1">
      <alignment horizontal="center" vertical="top" textRotation="90" wrapText="1"/>
    </xf>
    <xf numFmtId="0" fontId="122" fillId="0" borderId="15" xfId="61" applyNumberFormat="1" applyFont="1" applyBorder="1" applyAlignment="1">
      <alignment horizontal="center" vertical="top" textRotation="90" wrapText="1"/>
    </xf>
    <xf numFmtId="0" fontId="98" fillId="33" borderId="16" xfId="0" applyFont="1" applyFill="1" applyBorder="1" applyAlignment="1">
      <alignment vertical="top" wrapText="1"/>
    </xf>
    <xf numFmtId="15" fontId="9" fillId="0" borderId="15" xfId="0" applyNumberFormat="1" applyFont="1" applyFill="1" applyBorder="1" applyAlignment="1">
      <alignment horizontal="center" vertical="top" wrapText="1"/>
    </xf>
    <xf numFmtId="0" fontId="112" fillId="35" borderId="10" xfId="0" applyFont="1" applyFill="1" applyBorder="1" applyAlignment="1">
      <alignment vertical="top" wrapText="1"/>
    </xf>
    <xf numFmtId="0" fontId="98" fillId="35" borderId="12" xfId="0" applyFont="1" applyFill="1" applyBorder="1" applyAlignment="1">
      <alignment/>
    </xf>
    <xf numFmtId="0" fontId="98" fillId="35" borderId="30" xfId="0" applyFont="1" applyFill="1" applyBorder="1" applyAlignment="1">
      <alignment/>
    </xf>
    <xf numFmtId="0" fontId="98" fillId="35" borderId="18" xfId="0" applyFont="1" applyFill="1" applyBorder="1" applyAlignment="1">
      <alignment/>
    </xf>
    <xf numFmtId="0" fontId="112" fillId="0" borderId="10" xfId="0" applyNumberFormat="1" applyFont="1" applyBorder="1" applyAlignment="1">
      <alignment/>
    </xf>
    <xf numFmtId="3" fontId="11" fillId="0" borderId="10" xfId="61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/>
    </xf>
    <xf numFmtId="0" fontId="105" fillId="33" borderId="25" xfId="0" applyFont="1" applyFill="1" applyBorder="1" applyAlignment="1">
      <alignment horizontal="left" vertical="top" wrapText="1"/>
    </xf>
    <xf numFmtId="0" fontId="105" fillId="0" borderId="10" xfId="0" applyFont="1" applyFill="1" applyBorder="1" applyAlignment="1">
      <alignment vertical="top" wrapText="1"/>
    </xf>
    <xf numFmtId="0" fontId="105" fillId="0" borderId="25" xfId="0" applyFont="1" applyBorder="1" applyAlignment="1">
      <alignment/>
    </xf>
    <xf numFmtId="0" fontId="105" fillId="33" borderId="25" xfId="0" applyFont="1" applyFill="1" applyBorder="1" applyAlignment="1">
      <alignment horizontal="left"/>
    </xf>
    <xf numFmtId="3" fontId="105" fillId="33" borderId="16" xfId="0" applyNumberFormat="1" applyFont="1" applyFill="1" applyBorder="1" applyAlignment="1">
      <alignment horizontal="right" vertical="top"/>
    </xf>
    <xf numFmtId="184" fontId="105" fillId="33" borderId="16" xfId="61" applyNumberFormat="1" applyFont="1" applyFill="1" applyBorder="1" applyAlignment="1">
      <alignment horizontal="right" vertical="top"/>
    </xf>
    <xf numFmtId="0" fontId="105" fillId="33" borderId="25" xfId="0" applyFont="1" applyFill="1" applyBorder="1" applyAlignment="1">
      <alignment horizontal="left" wrapText="1"/>
    </xf>
    <xf numFmtId="3" fontId="105" fillId="0" borderId="16" xfId="0" applyNumberFormat="1" applyFont="1" applyBorder="1" applyAlignment="1">
      <alignment horizontal="right" vertical="top"/>
    </xf>
    <xf numFmtId="0" fontId="105" fillId="0" borderId="25" xfId="0" applyFont="1" applyBorder="1" applyAlignment="1">
      <alignment horizontal="left" vertical="top" wrapText="1"/>
    </xf>
    <xf numFmtId="184" fontId="105" fillId="0" borderId="16" xfId="61" applyNumberFormat="1" applyFont="1" applyBorder="1" applyAlignment="1">
      <alignment horizontal="right" vertical="top"/>
    </xf>
    <xf numFmtId="0" fontId="105" fillId="7" borderId="15" xfId="0" applyFont="1" applyFill="1" applyBorder="1" applyAlignment="1">
      <alignment vertical="top" wrapText="1"/>
    </xf>
    <xf numFmtId="0" fontId="105" fillId="7" borderId="10" xfId="0" applyFont="1" applyFill="1" applyBorder="1" applyAlignment="1">
      <alignment horizontal="left" vertical="top" wrapText="1"/>
    </xf>
    <xf numFmtId="0" fontId="107" fillId="7" borderId="12" xfId="0" applyFont="1" applyFill="1" applyBorder="1" applyAlignment="1">
      <alignment horizontal="center" vertical="top" wrapText="1"/>
    </xf>
    <xf numFmtId="184" fontId="107" fillId="7" borderId="10" xfId="61" applyNumberFormat="1" applyFont="1" applyFill="1" applyBorder="1" applyAlignment="1">
      <alignment horizontal="right" vertical="top"/>
    </xf>
    <xf numFmtId="0" fontId="105" fillId="7" borderId="10" xfId="0" applyFont="1" applyFill="1" applyBorder="1" applyAlignment="1">
      <alignment horizontal="center" vertical="top" wrapText="1"/>
    </xf>
    <xf numFmtId="0" fontId="107" fillId="7" borderId="10" xfId="0" applyFont="1" applyFill="1" applyBorder="1" applyAlignment="1">
      <alignment horizontal="center" vertical="center" wrapText="1"/>
    </xf>
    <xf numFmtId="184" fontId="105" fillId="7" borderId="10" xfId="61" applyNumberFormat="1" applyFont="1" applyFill="1" applyBorder="1" applyAlignment="1">
      <alignment horizontal="center" vertical="center" textRotation="90" wrapText="1"/>
    </xf>
    <xf numFmtId="0" fontId="105" fillId="7" borderId="10" xfId="0" applyFont="1" applyFill="1" applyBorder="1" applyAlignment="1">
      <alignment horizontal="center" vertical="center" wrapText="1"/>
    </xf>
    <xf numFmtId="0" fontId="107" fillId="0" borderId="14" xfId="39" applyFont="1" applyBorder="1" applyAlignment="1">
      <alignment vertical="top" wrapText="1"/>
      <protection/>
    </xf>
    <xf numFmtId="0" fontId="105" fillId="0" borderId="14" xfId="39" applyFont="1" applyBorder="1" applyAlignment="1">
      <alignment horizontal="left" vertical="top" wrapText="1"/>
      <protection/>
    </xf>
    <xf numFmtId="0" fontId="105" fillId="0" borderId="14" xfId="39" applyFont="1" applyBorder="1" applyAlignment="1">
      <alignment vertical="top" wrapText="1"/>
      <protection/>
    </xf>
    <xf numFmtId="3" fontId="105" fillId="0" borderId="14" xfId="0" applyNumberFormat="1" applyFont="1" applyBorder="1" applyAlignment="1">
      <alignment vertical="top"/>
    </xf>
    <xf numFmtId="0" fontId="107" fillId="0" borderId="16" xfId="39" applyFont="1" applyBorder="1" applyAlignment="1">
      <alignment vertical="top" wrapText="1"/>
      <protection/>
    </xf>
    <xf numFmtId="0" fontId="105" fillId="0" borderId="16" xfId="39" applyFont="1" applyBorder="1" applyAlignment="1">
      <alignment vertical="top" wrapText="1"/>
      <protection/>
    </xf>
    <xf numFmtId="3" fontId="105" fillId="0" borderId="16" xfId="0" applyNumberFormat="1" applyFont="1" applyBorder="1" applyAlignment="1">
      <alignment vertical="top"/>
    </xf>
    <xf numFmtId="0" fontId="107" fillId="7" borderId="10" xfId="39" applyFont="1" applyFill="1" applyBorder="1" applyAlignment="1">
      <alignment horizontal="left" vertical="top" wrapText="1"/>
      <protection/>
    </xf>
    <xf numFmtId="0" fontId="105" fillId="7" borderId="10" xfId="39" applyFont="1" applyFill="1" applyBorder="1" applyAlignment="1">
      <alignment horizontal="left" vertical="top" wrapText="1"/>
      <protection/>
    </xf>
    <xf numFmtId="0" fontId="105" fillId="38" borderId="10" xfId="39" applyFont="1" applyFill="1" applyBorder="1" applyAlignment="1">
      <alignment horizontal="left" vertical="top" wrapText="1"/>
      <protection/>
    </xf>
    <xf numFmtId="0" fontId="107" fillId="38" borderId="10" xfId="0" applyFont="1" applyFill="1" applyBorder="1" applyAlignment="1">
      <alignment horizontal="center" vertical="top" wrapText="1"/>
    </xf>
    <xf numFmtId="184" fontId="107" fillId="38" borderId="12" xfId="61" applyNumberFormat="1" applyFont="1" applyFill="1" applyBorder="1" applyAlignment="1">
      <alignment horizontal="right" vertical="top"/>
    </xf>
    <xf numFmtId="0" fontId="105" fillId="38" borderId="10" xfId="0" applyFont="1" applyFill="1" applyBorder="1" applyAlignment="1">
      <alignment horizontal="center" vertical="top" wrapText="1"/>
    </xf>
    <xf numFmtId="0" fontId="107" fillId="38" borderId="10" xfId="0" applyFont="1" applyFill="1" applyBorder="1" applyAlignment="1">
      <alignment vertical="top" wrapText="1"/>
    </xf>
    <xf numFmtId="0" fontId="107" fillId="38" borderId="10" xfId="0" applyFont="1" applyFill="1" applyBorder="1" applyAlignment="1">
      <alignment vertical="top" textRotation="90" wrapText="1"/>
    </xf>
    <xf numFmtId="0" fontId="107" fillId="38" borderId="12" xfId="0" applyFont="1" applyFill="1" applyBorder="1" applyAlignment="1">
      <alignment vertical="top" wrapText="1"/>
    </xf>
    <xf numFmtId="0" fontId="107" fillId="7" borderId="14" xfId="39" applyFont="1" applyFill="1" applyBorder="1" applyAlignment="1">
      <alignment horizontal="left" vertical="top" wrapText="1"/>
      <protection/>
    </xf>
    <xf numFmtId="0" fontId="105" fillId="7" borderId="14" xfId="39" applyFont="1" applyFill="1" applyBorder="1" applyAlignment="1">
      <alignment horizontal="left" vertical="top" wrapText="1"/>
      <protection/>
    </xf>
    <xf numFmtId="0" fontId="105" fillId="7" borderId="14" xfId="0" applyFont="1" applyFill="1" applyBorder="1" applyAlignment="1">
      <alignment horizontal="center" vertical="top" wrapText="1"/>
    </xf>
    <xf numFmtId="0" fontId="105" fillId="7" borderId="31" xfId="0" applyFont="1" applyFill="1" applyBorder="1" applyAlignment="1">
      <alignment horizontal="center" vertical="top" wrapText="1"/>
    </xf>
    <xf numFmtId="0" fontId="107" fillId="7" borderId="14" xfId="0" applyFont="1" applyFill="1" applyBorder="1" applyAlignment="1">
      <alignment vertical="center" wrapText="1"/>
    </xf>
    <xf numFmtId="0" fontId="107" fillId="7" borderId="14" xfId="0" applyFont="1" applyFill="1" applyBorder="1" applyAlignment="1">
      <alignment vertical="center" textRotation="90" wrapText="1"/>
    </xf>
    <xf numFmtId="0" fontId="107" fillId="7" borderId="24" xfId="0" applyFont="1" applyFill="1" applyBorder="1" applyAlignment="1">
      <alignment vertical="center" wrapText="1"/>
    </xf>
    <xf numFmtId="0" fontId="107" fillId="0" borderId="14" xfId="0" applyFont="1" applyBorder="1" applyAlignment="1">
      <alignment vertical="top" wrapText="1"/>
    </xf>
    <xf numFmtId="0" fontId="107" fillId="0" borderId="16" xfId="0" applyFont="1" applyBorder="1" applyAlignment="1">
      <alignment vertical="top" wrapText="1"/>
    </xf>
    <xf numFmtId="0" fontId="16" fillId="7" borderId="10" xfId="39" applyFont="1" applyFill="1" applyBorder="1" applyAlignment="1">
      <alignment vertical="top"/>
      <protection/>
    </xf>
    <xf numFmtId="0" fontId="107" fillId="7" borderId="10" xfId="0" applyFont="1" applyFill="1" applyBorder="1" applyAlignment="1">
      <alignment vertical="center" wrapText="1"/>
    </xf>
    <xf numFmtId="0" fontId="105" fillId="7" borderId="12" xfId="0" applyFont="1" applyFill="1" applyBorder="1" applyAlignment="1">
      <alignment vertical="top" wrapText="1"/>
    </xf>
    <xf numFmtId="0" fontId="107" fillId="7" borderId="10" xfId="0" applyFont="1" applyFill="1" applyBorder="1" applyAlignment="1">
      <alignment horizontal="center" vertical="top" wrapText="1"/>
    </xf>
    <xf numFmtId="0" fontId="105" fillId="7" borderId="18" xfId="0" applyFont="1" applyFill="1" applyBorder="1" applyAlignment="1">
      <alignment horizontal="center" vertical="top" wrapText="1"/>
    </xf>
    <xf numFmtId="0" fontId="105" fillId="7" borderId="10" xfId="0" applyFont="1" applyFill="1" applyBorder="1" applyAlignment="1">
      <alignment vertical="center" wrapText="1"/>
    </xf>
    <xf numFmtId="184" fontId="105" fillId="7" borderId="10" xfId="61" applyNumberFormat="1" applyFont="1" applyFill="1" applyBorder="1" applyAlignment="1">
      <alignment vertical="center" textRotation="90" wrapText="1"/>
    </xf>
    <xf numFmtId="0" fontId="16" fillId="0" borderId="10" xfId="39" applyFont="1" applyFill="1" applyBorder="1" applyAlignment="1">
      <alignment horizontal="left" vertical="top"/>
      <protection/>
    </xf>
    <xf numFmtId="0" fontId="107" fillId="0" borderId="10" xfId="0" applyFont="1" applyFill="1" applyBorder="1" applyAlignment="1">
      <alignment vertical="center" wrapText="1"/>
    </xf>
    <xf numFmtId="184" fontId="107" fillId="0" borderId="10" xfId="61" applyNumberFormat="1" applyFont="1" applyFill="1" applyBorder="1" applyAlignment="1">
      <alignment horizontal="right" vertical="top"/>
    </xf>
    <xf numFmtId="0" fontId="105" fillId="0" borderId="10" xfId="0" applyFont="1" applyFill="1" applyBorder="1" applyAlignment="1">
      <alignment vertical="center" wrapText="1"/>
    </xf>
    <xf numFmtId="184" fontId="105" fillId="0" borderId="10" xfId="61" applyNumberFormat="1" applyFont="1" applyFill="1" applyBorder="1" applyAlignment="1">
      <alignment vertical="center" textRotation="90" wrapText="1"/>
    </xf>
    <xf numFmtId="0" fontId="105" fillId="0" borderId="13" xfId="0" applyFont="1" applyBorder="1" applyAlignment="1">
      <alignment vertical="top" wrapText="1"/>
    </xf>
    <xf numFmtId="0" fontId="105" fillId="0" borderId="14" xfId="0" applyFont="1" applyBorder="1" applyAlignment="1">
      <alignment horizontal="center" wrapText="1"/>
    </xf>
    <xf numFmtId="184" fontId="105" fillId="0" borderId="14" xfId="61" applyNumberFormat="1" applyFont="1" applyFill="1" applyBorder="1" applyAlignment="1">
      <alignment vertical="center" textRotation="90" wrapText="1"/>
    </xf>
    <xf numFmtId="0" fontId="105" fillId="0" borderId="0" xfId="0" applyFont="1" applyBorder="1" applyAlignment="1">
      <alignment horizontal="left" vertical="top" wrapText="1"/>
    </xf>
    <xf numFmtId="184" fontId="105" fillId="0" borderId="16" xfId="61" applyNumberFormat="1" applyFont="1" applyFill="1" applyBorder="1" applyAlignment="1">
      <alignment vertical="center" textRotation="90" wrapText="1"/>
    </xf>
    <xf numFmtId="0" fontId="105" fillId="0" borderId="11" xfId="0" applyFont="1" applyBorder="1" applyAlignment="1">
      <alignment vertical="top"/>
    </xf>
    <xf numFmtId="3" fontId="105" fillId="0" borderId="15" xfId="0" applyNumberFormat="1" applyFont="1" applyBorder="1" applyAlignment="1">
      <alignment vertical="top"/>
    </xf>
    <xf numFmtId="0" fontId="105" fillId="0" borderId="15" xfId="0" applyFont="1" applyBorder="1" applyAlignment="1">
      <alignment horizontal="center" vertical="top"/>
    </xf>
    <xf numFmtId="184" fontId="105" fillId="0" borderId="15" xfId="61" applyNumberFormat="1" applyFont="1" applyFill="1" applyBorder="1" applyAlignment="1">
      <alignment vertical="top" textRotation="90" wrapText="1"/>
    </xf>
    <xf numFmtId="184" fontId="105" fillId="0" borderId="15" xfId="61" applyNumberFormat="1" applyFont="1" applyFill="1" applyBorder="1" applyAlignment="1">
      <alignment vertical="center" textRotation="90" wrapText="1"/>
    </xf>
    <xf numFmtId="0" fontId="17" fillId="0" borderId="15" xfId="39" applyFont="1" applyBorder="1" applyAlignment="1">
      <alignment horizontal="left" vertical="top" wrapText="1"/>
      <protection/>
    </xf>
    <xf numFmtId="0" fontId="17" fillId="0" borderId="17" xfId="39" applyFont="1" applyBorder="1" applyAlignment="1">
      <alignment horizontal="left" vertical="top" wrapText="1"/>
      <protection/>
    </xf>
    <xf numFmtId="0" fontId="105" fillId="0" borderId="11" xfId="0" applyFont="1" applyBorder="1" applyAlignment="1">
      <alignment vertical="top" wrapText="1"/>
    </xf>
    <xf numFmtId="0" fontId="105" fillId="0" borderId="32" xfId="0" applyFont="1" applyBorder="1" applyAlignment="1">
      <alignment horizontal="center" vertical="top"/>
    </xf>
    <xf numFmtId="0" fontId="107" fillId="33" borderId="10" xfId="0" applyFont="1" applyFill="1" applyBorder="1" applyAlignment="1">
      <alignment vertical="center"/>
    </xf>
    <xf numFmtId="0" fontId="105" fillId="33" borderId="10" xfId="0" applyFont="1" applyFill="1" applyBorder="1" applyAlignment="1">
      <alignment horizontal="center" vertical="center" wrapText="1"/>
    </xf>
    <xf numFmtId="0" fontId="105" fillId="33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3" fontId="105" fillId="0" borderId="10" xfId="0" applyNumberFormat="1" applyFont="1" applyFill="1" applyBorder="1" applyAlignment="1">
      <alignment horizontal="center" vertical="top" wrapText="1"/>
    </xf>
    <xf numFmtId="3" fontId="105" fillId="0" borderId="10" xfId="0" applyNumberFormat="1" applyFont="1" applyFill="1" applyBorder="1" applyAlignment="1">
      <alignment horizontal="center" vertical="top" textRotation="90" wrapText="1"/>
    </xf>
    <xf numFmtId="0" fontId="16" fillId="38" borderId="30" xfId="39" applyFont="1" applyFill="1" applyBorder="1" applyAlignment="1">
      <alignment vertical="top"/>
      <protection/>
    </xf>
    <xf numFmtId="0" fontId="16" fillId="38" borderId="18" xfId="39" applyFont="1" applyFill="1" applyBorder="1" applyAlignment="1">
      <alignment vertical="top"/>
      <protection/>
    </xf>
    <xf numFmtId="0" fontId="16" fillId="38" borderId="13" xfId="0" applyFont="1" applyFill="1" applyBorder="1" applyAlignment="1">
      <alignment vertical="center" wrapText="1"/>
    </xf>
    <xf numFmtId="0" fontId="16" fillId="38" borderId="31" xfId="0" applyFont="1" applyFill="1" applyBorder="1" applyAlignment="1">
      <alignment vertical="center" wrapText="1"/>
    </xf>
    <xf numFmtId="0" fontId="105" fillId="0" borderId="24" xfId="0" applyFont="1" applyBorder="1" applyAlignment="1">
      <alignment vertical="top"/>
    </xf>
    <xf numFmtId="0" fontId="105" fillId="0" borderId="31" xfId="0" applyFont="1" applyBorder="1" applyAlignment="1">
      <alignment/>
    </xf>
    <xf numFmtId="3" fontId="105" fillId="0" borderId="14" xfId="0" applyNumberFormat="1" applyFont="1" applyBorder="1" applyAlignment="1">
      <alignment/>
    </xf>
    <xf numFmtId="0" fontId="105" fillId="0" borderId="24" xfId="0" applyFont="1" applyBorder="1" applyAlignment="1">
      <alignment/>
    </xf>
    <xf numFmtId="0" fontId="105" fillId="0" borderId="23" xfId="0" applyFont="1" applyBorder="1" applyAlignment="1">
      <alignment horizontal="left" vertical="top" wrapText="1"/>
    </xf>
    <xf numFmtId="3" fontId="105" fillId="0" borderId="16" xfId="0" applyNumberFormat="1" applyFont="1" applyBorder="1" applyAlignment="1">
      <alignment vertical="center"/>
    </xf>
    <xf numFmtId="0" fontId="105" fillId="0" borderId="23" xfId="0" applyFont="1" applyBorder="1" applyAlignment="1">
      <alignment/>
    </xf>
    <xf numFmtId="3" fontId="105" fillId="0" borderId="16" xfId="0" applyNumberFormat="1" applyFont="1" applyBorder="1" applyAlignment="1">
      <alignment/>
    </xf>
    <xf numFmtId="0" fontId="17" fillId="7" borderId="10" xfId="0" applyFont="1" applyFill="1" applyBorder="1" applyAlignment="1">
      <alignment horizontal="left" vertical="top" wrapText="1"/>
    </xf>
    <xf numFmtId="0" fontId="105" fillId="7" borderId="18" xfId="0" applyFont="1" applyFill="1" applyBorder="1" applyAlignment="1">
      <alignment/>
    </xf>
    <xf numFmtId="3" fontId="105" fillId="7" borderId="10" xfId="0" applyNumberFormat="1" applyFont="1" applyFill="1" applyBorder="1" applyAlignment="1">
      <alignment/>
    </xf>
    <xf numFmtId="17" fontId="105" fillId="7" borderId="12" xfId="0" applyNumberFormat="1" applyFont="1" applyFill="1" applyBorder="1" applyAlignment="1">
      <alignment/>
    </xf>
    <xf numFmtId="0" fontId="105" fillId="7" borderId="12" xfId="0" applyFont="1" applyFill="1" applyBorder="1" applyAlignment="1">
      <alignment/>
    </xf>
    <xf numFmtId="0" fontId="105" fillId="0" borderId="14" xfId="0" applyFont="1" applyBorder="1" applyAlignment="1">
      <alignment vertical="top"/>
    </xf>
    <xf numFmtId="0" fontId="105" fillId="0" borderId="31" xfId="0" applyFont="1" applyBorder="1" applyAlignment="1">
      <alignment wrapText="1"/>
    </xf>
    <xf numFmtId="0" fontId="105" fillId="0" borderId="23" xfId="0" applyFont="1" applyBorder="1" applyAlignment="1">
      <alignment wrapText="1"/>
    </xf>
    <xf numFmtId="3" fontId="17" fillId="0" borderId="14" xfId="0" applyNumberFormat="1" applyFont="1" applyBorder="1" applyAlignment="1">
      <alignment vertical="top" wrapText="1" readingOrder="1"/>
    </xf>
    <xf numFmtId="0" fontId="17" fillId="0" borderId="31" xfId="0" applyFont="1" applyBorder="1" applyAlignment="1">
      <alignment vertical="top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24" xfId="0" applyFont="1" applyBorder="1" applyAlignment="1">
      <alignment vertical="top" wrapText="1" readingOrder="1"/>
    </xf>
    <xf numFmtId="0" fontId="17" fillId="0" borderId="23" xfId="0" applyFont="1" applyBorder="1" applyAlignment="1">
      <alignment vertical="top" wrapText="1" readingOrder="1"/>
    </xf>
    <xf numFmtId="0" fontId="17" fillId="0" borderId="16" xfId="0" applyFont="1" applyBorder="1" applyAlignment="1">
      <alignment vertical="top" wrapText="1" readingOrder="1"/>
    </xf>
    <xf numFmtId="0" fontId="17" fillId="0" borderId="25" xfId="0" applyFont="1" applyBorder="1" applyAlignment="1">
      <alignment vertical="top" wrapText="1" readingOrder="1"/>
    </xf>
    <xf numFmtId="0" fontId="17" fillId="0" borderId="23" xfId="0" applyFont="1" applyBorder="1" applyAlignment="1">
      <alignment horizontal="center" vertical="top" wrapText="1" readingOrder="1"/>
    </xf>
    <xf numFmtId="3" fontId="17" fillId="0" borderId="16" xfId="0" applyNumberFormat="1" applyFont="1" applyBorder="1" applyAlignment="1">
      <alignment vertical="top" wrapText="1" readingOrder="1"/>
    </xf>
    <xf numFmtId="0" fontId="126" fillId="0" borderId="23" xfId="0" applyFont="1" applyBorder="1" applyAlignment="1">
      <alignment vertical="top" wrapText="1" readingOrder="1"/>
    </xf>
    <xf numFmtId="0" fontId="126" fillId="0" borderId="0" xfId="0" applyFont="1" applyBorder="1" applyAlignment="1">
      <alignment vertical="top" wrapText="1" readingOrder="1"/>
    </xf>
    <xf numFmtId="0" fontId="126" fillId="0" borderId="16" xfId="0" applyFont="1" applyBorder="1" applyAlignment="1">
      <alignment vertical="top" wrapText="1" readingOrder="1"/>
    </xf>
    <xf numFmtId="0" fontId="126" fillId="0" borderId="25" xfId="0" applyFont="1" applyBorder="1" applyAlignment="1">
      <alignment vertical="top" wrapText="1" readingOrder="1"/>
    </xf>
    <xf numFmtId="0" fontId="126" fillId="0" borderId="23" xfId="0" applyFont="1" applyBorder="1" applyAlignment="1">
      <alignment horizontal="center" vertical="top" wrapText="1" readingOrder="1"/>
    </xf>
    <xf numFmtId="0" fontId="105" fillId="7" borderId="18" xfId="0" applyFont="1" applyFill="1" applyBorder="1" applyAlignment="1">
      <alignment horizontal="center"/>
    </xf>
    <xf numFmtId="0" fontId="105" fillId="7" borderId="10" xfId="0" applyFont="1" applyFill="1" applyBorder="1" applyAlignment="1">
      <alignment vertical="top" textRotation="90"/>
    </xf>
    <xf numFmtId="0" fontId="105" fillId="0" borderId="23" xfId="0" applyFont="1" applyBorder="1" applyAlignment="1">
      <alignment vertical="top" wrapText="1"/>
    </xf>
    <xf numFmtId="0" fontId="105" fillId="0" borderId="16" xfId="0" applyFont="1" applyBorder="1" applyAlignment="1">
      <alignment horizontal="left" vertical="top"/>
    </xf>
    <xf numFmtId="0" fontId="105" fillId="0" borderId="14" xfId="0" applyFont="1" applyBorder="1" applyAlignment="1">
      <alignment horizontal="left" vertical="top"/>
    </xf>
    <xf numFmtId="0" fontId="105" fillId="0" borderId="31" xfId="0" applyFont="1" applyBorder="1" applyAlignment="1">
      <alignment horizontal="left" wrapText="1"/>
    </xf>
    <xf numFmtId="3" fontId="105" fillId="0" borderId="14" xfId="0" applyNumberFormat="1" applyFont="1" applyBorder="1" applyAlignment="1">
      <alignment horizontal="right"/>
    </xf>
    <xf numFmtId="0" fontId="105" fillId="0" borderId="16" xfId="0" applyFont="1" applyBorder="1" applyAlignment="1">
      <alignment vertical="top" textRotation="90"/>
    </xf>
    <xf numFmtId="0" fontId="17" fillId="7" borderId="10" xfId="0" applyFont="1" applyFill="1" applyBorder="1" applyAlignment="1">
      <alignment wrapText="1"/>
    </xf>
    <xf numFmtId="0" fontId="17" fillId="7" borderId="10" xfId="0" applyFont="1" applyFill="1" applyBorder="1" applyAlignment="1">
      <alignment horizontal="left" wrapText="1"/>
    </xf>
    <xf numFmtId="0" fontId="105" fillId="7" borderId="18" xfId="0" applyFont="1" applyFill="1" applyBorder="1" applyAlignment="1">
      <alignment/>
    </xf>
    <xf numFmtId="0" fontId="105" fillId="7" borderId="10" xfId="0" applyFont="1" applyFill="1" applyBorder="1" applyAlignment="1">
      <alignment/>
    </xf>
    <xf numFmtId="3" fontId="105" fillId="7" borderId="10" xfId="0" applyNumberFormat="1" applyFont="1" applyFill="1" applyBorder="1" applyAlignment="1">
      <alignment/>
    </xf>
    <xf numFmtId="0" fontId="105" fillId="7" borderId="12" xfId="0" applyFont="1" applyFill="1" applyBorder="1" applyAlignment="1">
      <alignment/>
    </xf>
    <xf numFmtId="0" fontId="105" fillId="0" borderId="23" xfId="0" applyFont="1" applyBorder="1" applyAlignment="1">
      <alignment horizontal="center" vertical="center"/>
    </xf>
    <xf numFmtId="0" fontId="17" fillId="38" borderId="10" xfId="0" applyFont="1" applyFill="1" applyBorder="1" applyAlignment="1">
      <alignment vertical="top" wrapText="1"/>
    </xf>
    <xf numFmtId="0" fontId="17" fillId="38" borderId="10" xfId="0" applyFont="1" applyFill="1" applyBorder="1" applyAlignment="1">
      <alignment horizontal="left" vertical="top" wrapText="1"/>
    </xf>
    <xf numFmtId="0" fontId="105" fillId="38" borderId="18" xfId="0" applyFont="1" applyFill="1" applyBorder="1" applyAlignment="1">
      <alignment/>
    </xf>
    <xf numFmtId="0" fontId="105" fillId="38" borderId="10" xfId="0" applyFont="1" applyFill="1" applyBorder="1" applyAlignment="1">
      <alignment/>
    </xf>
    <xf numFmtId="0" fontId="107" fillId="38" borderId="18" xfId="0" applyFont="1" applyFill="1" applyBorder="1" applyAlignment="1">
      <alignment horizontal="center"/>
    </xf>
    <xf numFmtId="3" fontId="107" fillId="38" borderId="10" xfId="0" applyNumberFormat="1" applyFont="1" applyFill="1" applyBorder="1" applyAlignment="1">
      <alignment/>
    </xf>
    <xf numFmtId="0" fontId="105" fillId="38" borderId="12" xfId="0" applyFont="1" applyFill="1" applyBorder="1" applyAlignment="1">
      <alignment/>
    </xf>
    <xf numFmtId="0" fontId="116" fillId="0" borderId="14" xfId="0" applyFont="1" applyFill="1" applyBorder="1" applyAlignment="1">
      <alignment horizontal="left" vertical="top" wrapText="1" readingOrder="1"/>
    </xf>
    <xf numFmtId="184" fontId="116" fillId="0" borderId="14" xfId="61" applyNumberFormat="1" applyFont="1" applyFill="1" applyBorder="1" applyAlignment="1">
      <alignment horizontal="center" vertical="top" wrapText="1" readingOrder="1"/>
    </xf>
    <xf numFmtId="0" fontId="115" fillId="35" borderId="15" xfId="0" applyFont="1" applyFill="1" applyBorder="1" applyAlignment="1">
      <alignment horizontal="center" vertical="top" wrapText="1" readingOrder="1"/>
    </xf>
    <xf numFmtId="0" fontId="98" fillId="0" borderId="0" xfId="0" applyFont="1" applyFill="1" applyAlignment="1">
      <alignment horizontal="center" vertical="center"/>
    </xf>
    <xf numFmtId="184" fontId="98" fillId="16" borderId="10" xfId="61" applyNumberFormat="1" applyFont="1" applyFill="1" applyBorder="1" applyAlignment="1">
      <alignment horizontal="center" vertical="center" wrapText="1"/>
    </xf>
    <xf numFmtId="0" fontId="98" fillId="16" borderId="10" xfId="0" applyFont="1" applyFill="1" applyBorder="1" applyAlignment="1">
      <alignment horizontal="center" vertical="center" wrapText="1"/>
    </xf>
    <xf numFmtId="0" fontId="112" fillId="16" borderId="10" xfId="0" applyFont="1" applyFill="1" applyBorder="1" applyAlignment="1">
      <alignment horizontal="center" vertical="center" wrapText="1"/>
    </xf>
    <xf numFmtId="184" fontId="98" fillId="12" borderId="10" xfId="61" applyNumberFormat="1" applyFont="1" applyFill="1" applyBorder="1" applyAlignment="1">
      <alignment horizontal="center" vertical="center" wrapText="1"/>
    </xf>
    <xf numFmtId="0" fontId="98" fillId="12" borderId="10" xfId="0" applyFont="1" applyFill="1" applyBorder="1" applyAlignment="1">
      <alignment horizontal="center" vertical="center" wrapText="1"/>
    </xf>
    <xf numFmtId="0" fontId="112" fillId="12" borderId="10" xfId="0" applyFont="1" applyFill="1" applyBorder="1" applyAlignment="1">
      <alignment horizontal="center" vertical="center" wrapText="1"/>
    </xf>
    <xf numFmtId="0" fontId="98" fillId="11" borderId="10" xfId="0" applyFont="1" applyFill="1" applyBorder="1" applyAlignment="1">
      <alignment horizontal="center" vertical="center" wrapText="1"/>
    </xf>
    <xf numFmtId="0" fontId="112" fillId="11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/>
    </xf>
    <xf numFmtId="184" fontId="9" fillId="16" borderId="10" xfId="61" applyNumberFormat="1" applyFont="1" applyFill="1" applyBorder="1" applyAlignment="1">
      <alignment/>
    </xf>
    <xf numFmtId="184" fontId="122" fillId="16" borderId="10" xfId="61" applyNumberFormat="1" applyFont="1" applyFill="1" applyBorder="1" applyAlignment="1">
      <alignment/>
    </xf>
    <xf numFmtId="184" fontId="98" fillId="12" borderId="10" xfId="61" applyNumberFormat="1" applyFont="1" applyFill="1" applyBorder="1" applyAlignment="1">
      <alignment/>
    </xf>
    <xf numFmtId="184" fontId="9" fillId="12" borderId="10" xfId="61" applyNumberFormat="1" applyFont="1" applyFill="1" applyBorder="1" applyAlignment="1">
      <alignment/>
    </xf>
    <xf numFmtId="184" fontId="112" fillId="12" borderId="10" xfId="61" applyNumberFormat="1" applyFont="1" applyFill="1" applyBorder="1" applyAlignment="1">
      <alignment/>
    </xf>
    <xf numFmtId="184" fontId="9" fillId="11" borderId="10" xfId="61" applyNumberFormat="1" applyFont="1" applyFill="1" applyBorder="1" applyAlignment="1">
      <alignment/>
    </xf>
    <xf numFmtId="184" fontId="11" fillId="11" borderId="10" xfId="0" applyNumberFormat="1" applyFont="1" applyFill="1" applyBorder="1" applyAlignment="1">
      <alignment/>
    </xf>
    <xf numFmtId="0" fontId="98" fillId="0" borderId="10" xfId="0" applyFont="1" applyFill="1" applyBorder="1" applyAlignment="1">
      <alignment/>
    </xf>
    <xf numFmtId="184" fontId="112" fillId="0" borderId="10" xfId="61" applyNumberFormat="1" applyFont="1" applyFill="1" applyBorder="1" applyAlignment="1">
      <alignment/>
    </xf>
    <xf numFmtId="0" fontId="98" fillId="13" borderId="10" xfId="0" applyFont="1" applyFill="1" applyBorder="1" applyAlignment="1">
      <alignment horizontal="center"/>
    </xf>
    <xf numFmtId="0" fontId="98" fillId="13" borderId="10" xfId="0" applyFont="1" applyFill="1" applyBorder="1" applyAlignment="1">
      <alignment/>
    </xf>
    <xf numFmtId="184" fontId="98" fillId="16" borderId="10" xfId="61" applyNumberFormat="1" applyFont="1" applyFill="1" applyBorder="1" applyAlignment="1">
      <alignment/>
    </xf>
    <xf numFmtId="184" fontId="112" fillId="16" borderId="10" xfId="61" applyNumberFormat="1" applyFont="1" applyFill="1" applyBorder="1" applyAlignment="1">
      <alignment/>
    </xf>
    <xf numFmtId="184" fontId="98" fillId="12" borderId="10" xfId="61" applyNumberFormat="1" applyFont="1" applyFill="1" applyBorder="1" applyAlignment="1">
      <alignment horizontal="right"/>
    </xf>
    <xf numFmtId="3" fontId="98" fillId="19" borderId="10" xfId="0" applyNumberFormat="1" applyFont="1" applyFill="1" applyBorder="1" applyAlignment="1">
      <alignment/>
    </xf>
    <xf numFmtId="3" fontId="98" fillId="0" borderId="10" xfId="0" applyNumberFormat="1" applyFont="1" applyFill="1" applyBorder="1" applyAlignment="1">
      <alignment/>
    </xf>
    <xf numFmtId="184" fontId="98" fillId="0" borderId="10" xfId="0" applyNumberFormat="1" applyFont="1" applyFill="1" applyBorder="1" applyAlignment="1">
      <alignment/>
    </xf>
    <xf numFmtId="184" fontId="98" fillId="16" borderId="10" xfId="61" applyNumberFormat="1" applyFont="1" applyFill="1" applyBorder="1" applyAlignment="1">
      <alignment horizontal="right"/>
    </xf>
    <xf numFmtId="184" fontId="98" fillId="19" borderId="10" xfId="0" applyNumberFormat="1" applyFont="1" applyFill="1" applyBorder="1" applyAlignment="1">
      <alignment/>
    </xf>
    <xf numFmtId="184" fontId="98" fillId="16" borderId="0" xfId="61" applyNumberFormat="1" applyFont="1" applyFill="1" applyAlignment="1">
      <alignment/>
    </xf>
    <xf numFmtId="184" fontId="98" fillId="19" borderId="10" xfId="61" applyNumberFormat="1" applyFont="1" applyFill="1" applyBorder="1" applyAlignment="1">
      <alignment/>
    </xf>
    <xf numFmtId="43" fontId="98" fillId="19" borderId="10" xfId="61" applyFont="1" applyFill="1" applyBorder="1" applyAlignment="1">
      <alignment/>
    </xf>
    <xf numFmtId="184" fontId="98" fillId="0" borderId="10" xfId="61" applyNumberFormat="1" applyFont="1" applyFill="1" applyBorder="1" applyAlignment="1">
      <alignment/>
    </xf>
    <xf numFmtId="0" fontId="112" fillId="13" borderId="10" xfId="0" applyFont="1" applyFill="1" applyBorder="1" applyAlignment="1">
      <alignment horizontal="center"/>
    </xf>
    <xf numFmtId="184" fontId="112" fillId="16" borderId="10" xfId="61" applyNumberFormat="1" applyFont="1" applyFill="1" applyBorder="1" applyAlignment="1">
      <alignment horizontal="center"/>
    </xf>
    <xf numFmtId="184" fontId="112" fillId="12" borderId="10" xfId="61" applyNumberFormat="1" applyFont="1" applyFill="1" applyBorder="1" applyAlignment="1">
      <alignment horizontal="center"/>
    </xf>
    <xf numFmtId="184" fontId="112" fillId="11" borderId="10" xfId="61" applyNumberFormat="1" applyFont="1" applyFill="1" applyBorder="1" applyAlignment="1">
      <alignment horizontal="center"/>
    </xf>
    <xf numFmtId="184" fontId="112" fillId="11" borderId="10" xfId="0" applyNumberFormat="1" applyFont="1" applyFill="1" applyBorder="1" applyAlignment="1">
      <alignment horizontal="center"/>
    </xf>
    <xf numFmtId="0" fontId="11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184" fontId="98" fillId="0" borderId="0" xfId="61" applyNumberFormat="1" applyFont="1" applyFill="1" applyAlignment="1">
      <alignment/>
    </xf>
    <xf numFmtId="43" fontId="98" fillId="0" borderId="0" xfId="61" applyNumberFormat="1" applyFont="1" applyFill="1" applyAlignment="1">
      <alignment/>
    </xf>
    <xf numFmtId="43" fontId="98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top" wrapText="1"/>
    </xf>
    <xf numFmtId="184" fontId="9" fillId="0" borderId="14" xfId="61" applyNumberFormat="1" applyFont="1" applyBorder="1" applyAlignment="1">
      <alignment vertical="top" textRotation="90" wrapText="1"/>
    </xf>
    <xf numFmtId="184" fontId="9" fillId="0" borderId="15" xfId="61" applyNumberFormat="1" applyFont="1" applyBorder="1" applyAlignment="1">
      <alignment vertical="top" textRotation="90" wrapText="1"/>
    </xf>
    <xf numFmtId="0" fontId="9" fillId="0" borderId="16" xfId="0" applyFont="1" applyBorder="1" applyAlignment="1">
      <alignment horizontal="center" vertical="top" wrapText="1" readingOrder="1"/>
    </xf>
    <xf numFmtId="0" fontId="9" fillId="0" borderId="30" xfId="0" applyFont="1" applyFill="1" applyBorder="1" applyAlignment="1">
      <alignment vertical="top" wrapText="1"/>
    </xf>
    <xf numFmtId="184" fontId="9" fillId="0" borderId="10" xfId="61" applyNumberFormat="1" applyFont="1" applyBorder="1" applyAlignment="1">
      <alignment vertical="top" textRotation="90" wrapText="1"/>
    </xf>
    <xf numFmtId="0" fontId="9" fillId="0" borderId="15" xfId="0" applyFont="1" applyBorder="1" applyAlignment="1">
      <alignment/>
    </xf>
    <xf numFmtId="184" fontId="9" fillId="0" borderId="16" xfId="61" applyNumberFormat="1" applyFont="1" applyBorder="1" applyAlignment="1">
      <alignment/>
    </xf>
    <xf numFmtId="0" fontId="9" fillId="0" borderId="16" xfId="0" applyFont="1" applyBorder="1" applyAlignment="1">
      <alignment horizontal="center" vertical="top" textRotation="90" wrapText="1" readingOrder="1"/>
    </xf>
    <xf numFmtId="0" fontId="9" fillId="0" borderId="14" xfId="0" applyFont="1" applyBorder="1" applyAlignment="1">
      <alignment horizontal="center" vertical="top" textRotation="90" wrapText="1" readingOrder="1"/>
    </xf>
    <xf numFmtId="184" fontId="9" fillId="0" borderId="10" xfId="61" applyNumberFormat="1" applyFont="1" applyFill="1" applyBorder="1" applyAlignment="1">
      <alignment horizontal="center" vertical="top" textRotation="90" wrapText="1"/>
    </xf>
    <xf numFmtId="184" fontId="9" fillId="0" borderId="15" xfId="61" applyNumberFormat="1" applyFont="1" applyFill="1" applyBorder="1" applyAlignment="1">
      <alignment horizontal="center" vertical="top" textRotation="90" wrapText="1"/>
    </xf>
    <xf numFmtId="184" fontId="9" fillId="0" borderId="15" xfId="61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184" fontId="9" fillId="0" borderId="16" xfId="61" applyNumberFormat="1" applyFont="1" applyBorder="1" applyAlignment="1">
      <alignment horizontal="center" vertical="top" textRotation="90" wrapText="1" readingOrder="1"/>
    </xf>
    <xf numFmtId="184" fontId="9" fillId="0" borderId="16" xfId="61" applyNumberFormat="1" applyFont="1" applyBorder="1" applyAlignment="1">
      <alignment horizontal="center" vertical="top" wrapText="1" readingOrder="1"/>
    </xf>
    <xf numFmtId="184" fontId="9" fillId="0" borderId="30" xfId="61" applyNumberFormat="1" applyFont="1" applyFill="1" applyBorder="1" applyAlignment="1">
      <alignment vertical="top" wrapText="1"/>
    </xf>
    <xf numFmtId="184" fontId="9" fillId="0" borderId="18" xfId="61" applyNumberFormat="1" applyFont="1" applyFill="1" applyBorder="1" applyAlignment="1">
      <alignment vertical="top" wrapText="1"/>
    </xf>
    <xf numFmtId="184" fontId="9" fillId="0" borderId="14" xfId="61" applyNumberFormat="1" applyFont="1" applyBorder="1" applyAlignment="1">
      <alignment horizontal="center" vertical="top" textRotation="90" wrapText="1" readingOrder="1"/>
    </xf>
    <xf numFmtId="184" fontId="9" fillId="38" borderId="10" xfId="61" applyNumberFormat="1" applyFont="1" applyFill="1" applyBorder="1" applyAlignment="1">
      <alignment/>
    </xf>
    <xf numFmtId="184" fontId="2" fillId="0" borderId="0" xfId="61" applyNumberFormat="1" applyFont="1" applyAlignment="1">
      <alignment/>
    </xf>
    <xf numFmtId="184" fontId="11" fillId="0" borderId="10" xfId="61" applyNumberFormat="1" applyFont="1" applyBorder="1" applyAlignment="1">
      <alignment horizontal="center" vertical="top" textRotation="90" wrapText="1"/>
    </xf>
    <xf numFmtId="184" fontId="9" fillId="0" borderId="0" xfId="61" applyNumberFormat="1" applyFont="1" applyBorder="1" applyAlignment="1">
      <alignment/>
    </xf>
    <xf numFmtId="184" fontId="9" fillId="0" borderId="10" xfId="61" applyNumberFormat="1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/>
    </xf>
    <xf numFmtId="184" fontId="9" fillId="0" borderId="14" xfId="61" applyNumberFormat="1" applyFont="1" applyBorder="1" applyAlignment="1">
      <alignment/>
    </xf>
    <xf numFmtId="184" fontId="9" fillId="0" borderId="10" xfId="61" applyNumberFormat="1" applyFont="1" applyBorder="1" applyAlignment="1">
      <alignment/>
    </xf>
    <xf numFmtId="184" fontId="9" fillId="0" borderId="16" xfId="61" applyNumberFormat="1" applyFont="1" applyFill="1" applyBorder="1" applyAlignment="1">
      <alignment horizontal="left" vertical="top" wrapText="1"/>
    </xf>
    <xf numFmtId="184" fontId="9" fillId="0" borderId="0" xfId="61" applyNumberFormat="1" applyFont="1" applyBorder="1" applyAlignment="1">
      <alignment vertical="top" textRotation="90" wrapText="1"/>
    </xf>
    <xf numFmtId="184" fontId="9" fillId="0" borderId="25" xfId="61" applyNumberFormat="1" applyFont="1" applyBorder="1" applyAlignment="1">
      <alignment horizontal="center" vertical="top" wrapText="1" readingOrder="1"/>
    </xf>
    <xf numFmtId="184" fontId="9" fillId="0" borderId="25" xfId="61" applyNumberFormat="1" applyFont="1" applyBorder="1" applyAlignment="1">
      <alignment vertical="top" textRotation="90" wrapText="1"/>
    </xf>
    <xf numFmtId="184" fontId="9" fillId="0" borderId="11" xfId="61" applyNumberFormat="1" applyFont="1" applyBorder="1" applyAlignment="1">
      <alignment vertical="top" textRotation="90" wrapText="1"/>
    </xf>
    <xf numFmtId="184" fontId="9" fillId="0" borderId="17" xfId="61" applyNumberFormat="1" applyFont="1" applyBorder="1" applyAlignment="1">
      <alignment vertical="top" textRotation="90" wrapText="1"/>
    </xf>
    <xf numFmtId="184" fontId="9" fillId="0" borderId="14" xfId="61" applyNumberFormat="1" applyFont="1" applyBorder="1" applyAlignment="1">
      <alignment horizontal="center" vertical="top" wrapText="1" readingOrder="1"/>
    </xf>
    <xf numFmtId="184" fontId="9" fillId="0" borderId="23" xfId="61" applyNumberFormat="1" applyFont="1" applyBorder="1" applyAlignment="1">
      <alignment vertical="top" textRotation="90" wrapText="1"/>
    </xf>
    <xf numFmtId="184" fontId="9" fillId="0" borderId="13" xfId="61" applyNumberFormat="1" applyFont="1" applyBorder="1" applyAlignment="1">
      <alignment vertical="top" textRotation="90" wrapText="1"/>
    </xf>
    <xf numFmtId="184" fontId="9" fillId="0" borderId="24" xfId="61" applyNumberFormat="1" applyFont="1" applyBorder="1" applyAlignment="1">
      <alignment vertical="top" textRotation="90" wrapText="1"/>
    </xf>
    <xf numFmtId="184" fontId="9" fillId="0" borderId="10" xfId="61" applyNumberFormat="1" applyFont="1" applyBorder="1" applyAlignment="1">
      <alignment horizontal="center" vertical="top" wrapText="1" readingOrder="1"/>
    </xf>
    <xf numFmtId="184" fontId="9" fillId="0" borderId="10" xfId="61" applyNumberFormat="1" applyFont="1" applyBorder="1" applyAlignment="1">
      <alignment horizontal="center" vertical="top" textRotation="90" wrapText="1" readingOrder="1"/>
    </xf>
    <xf numFmtId="184" fontId="9" fillId="0" borderId="0" xfId="61" applyNumberFormat="1" applyFont="1" applyBorder="1" applyAlignment="1">
      <alignment horizontal="center" vertical="top" textRotation="90" wrapText="1" readingOrder="1"/>
    </xf>
    <xf numFmtId="184" fontId="9" fillId="38" borderId="12" xfId="61" applyNumberFormat="1" applyFont="1" applyFill="1" applyBorder="1" applyAlignment="1">
      <alignment/>
    </xf>
    <xf numFmtId="184" fontId="9" fillId="38" borderId="30" xfId="61" applyNumberFormat="1" applyFont="1" applyFill="1" applyBorder="1" applyAlignment="1">
      <alignment/>
    </xf>
    <xf numFmtId="184" fontId="9" fillId="0" borderId="15" xfId="61" applyNumberFormat="1" applyFont="1" applyFill="1" applyBorder="1" applyAlignment="1">
      <alignment horizontal="left" vertical="top" wrapText="1"/>
    </xf>
    <xf numFmtId="184" fontId="9" fillId="0" borderId="25" xfId="61" applyNumberFormat="1" applyFont="1" applyBorder="1" applyAlignment="1">
      <alignment/>
    </xf>
    <xf numFmtId="184" fontId="11" fillId="0" borderId="10" xfId="61" applyNumberFormat="1" applyFont="1" applyBorder="1" applyAlignment="1">
      <alignment vertical="center" wrapText="1"/>
    </xf>
    <xf numFmtId="184" fontId="11" fillId="0" borderId="10" xfId="61" applyNumberFormat="1" applyFont="1" applyBorder="1" applyAlignment="1">
      <alignment vertical="center" textRotation="90" wrapText="1"/>
    </xf>
    <xf numFmtId="184" fontId="9" fillId="0" borderId="10" xfId="61" applyNumberFormat="1" applyFont="1" applyBorder="1" applyAlignment="1">
      <alignment vertical="top" wrapText="1"/>
    </xf>
    <xf numFmtId="184" fontId="9" fillId="0" borderId="0" xfId="61" applyNumberFormat="1" applyFont="1" applyAlignment="1">
      <alignment/>
    </xf>
    <xf numFmtId="0" fontId="9" fillId="33" borderId="25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0" fontId="9" fillId="33" borderId="15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center" vertical="top" wrapText="1" readingOrder="1"/>
    </xf>
    <xf numFmtId="0" fontId="9" fillId="35" borderId="32" xfId="0" applyFont="1" applyFill="1" applyBorder="1" applyAlignment="1">
      <alignment horizontal="center" vertical="top" wrapText="1" readingOrder="1"/>
    </xf>
    <xf numFmtId="3" fontId="9" fillId="35" borderId="10" xfId="61" applyNumberFormat="1" applyFont="1" applyFill="1" applyBorder="1" applyAlignment="1">
      <alignment horizontal="center" vertical="top" wrapText="1" readingOrder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2" fontId="11" fillId="0" borderId="16" xfId="0" applyNumberFormat="1" applyFont="1" applyFill="1" applyBorder="1" applyAlignment="1">
      <alignment vertical="top" wrapText="1"/>
    </xf>
    <xf numFmtId="184" fontId="9" fillId="0" borderId="16" xfId="61" applyNumberFormat="1" applyFont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top" wrapText="1"/>
    </xf>
    <xf numFmtId="3" fontId="9" fillId="0" borderId="16" xfId="0" applyNumberFormat="1" applyFont="1" applyFill="1" applyBorder="1" applyAlignment="1">
      <alignment vertical="top" wrapText="1"/>
    </xf>
    <xf numFmtId="184" fontId="9" fillId="0" borderId="16" xfId="61" applyNumberFormat="1" applyFont="1" applyBorder="1" applyAlignment="1">
      <alignment horizontal="center"/>
    </xf>
    <xf numFmtId="2" fontId="9" fillId="42" borderId="10" xfId="0" applyNumberFormat="1" applyFont="1" applyFill="1" applyBorder="1" applyAlignment="1">
      <alignment horizontal="center" vertical="top" wrapText="1"/>
    </xf>
    <xf numFmtId="184" fontId="9" fillId="42" borderId="10" xfId="61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top" wrapText="1"/>
    </xf>
    <xf numFmtId="184" fontId="9" fillId="0" borderId="14" xfId="61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 readingOrder="1"/>
    </xf>
    <xf numFmtId="0" fontId="9" fillId="0" borderId="12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1" fontId="9" fillId="0" borderId="14" xfId="0" applyNumberFormat="1" applyFont="1" applyFill="1" applyBorder="1" applyAlignment="1">
      <alignment horizontal="left" vertical="top" wrapText="1"/>
    </xf>
    <xf numFmtId="184" fontId="9" fillId="0" borderId="16" xfId="61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vertical="top" textRotation="90" wrapText="1"/>
    </xf>
    <xf numFmtId="3" fontId="12" fillId="0" borderId="16" xfId="0" applyNumberFormat="1" applyFont="1" applyFill="1" applyBorder="1" applyAlignment="1">
      <alignment vertical="top" wrapText="1"/>
    </xf>
    <xf numFmtId="0" fontId="9" fillId="0" borderId="23" xfId="0" applyFont="1" applyBorder="1" applyAlignment="1">
      <alignment/>
    </xf>
    <xf numFmtId="3" fontId="9" fillId="0" borderId="14" xfId="0" applyNumberFormat="1" applyFont="1" applyFill="1" applyBorder="1" applyAlignment="1">
      <alignment vertical="top" wrapText="1"/>
    </xf>
    <xf numFmtId="184" fontId="9" fillId="0" borderId="14" xfId="61" applyNumberFormat="1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vertical="top" wrapText="1"/>
    </xf>
    <xf numFmtId="184" fontId="9" fillId="0" borderId="10" xfId="61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 readingOrder="1"/>
    </xf>
    <xf numFmtId="184" fontId="9" fillId="0" borderId="16" xfId="61" applyNumberFormat="1" applyFont="1" applyBorder="1" applyAlignment="1">
      <alignment horizontal="center" wrapText="1" readingOrder="1"/>
    </xf>
    <xf numFmtId="2" fontId="9" fillId="0" borderId="15" xfId="0" applyNumberFormat="1" applyFont="1" applyFill="1" applyBorder="1" applyAlignment="1">
      <alignment vertical="top" wrapText="1"/>
    </xf>
    <xf numFmtId="184" fontId="9" fillId="0" borderId="15" xfId="61" applyNumberFormat="1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left" vertical="top" wrapText="1"/>
    </xf>
    <xf numFmtId="1" fontId="9" fillId="0" borderId="25" xfId="0" applyNumberFormat="1" applyFont="1" applyFill="1" applyBorder="1" applyAlignment="1">
      <alignment horizontal="left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184" fontId="9" fillId="35" borderId="10" xfId="61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84" fontId="9" fillId="33" borderId="10" xfId="61" applyNumberFormat="1" applyFont="1" applyFill="1" applyBorder="1" applyAlignment="1">
      <alignment horizontal="left" vertical="top" wrapText="1"/>
    </xf>
    <xf numFmtId="0" fontId="9" fillId="38" borderId="18" xfId="0" applyFont="1" applyFill="1" applyBorder="1" applyAlignment="1">
      <alignment/>
    </xf>
    <xf numFmtId="184" fontId="9" fillId="0" borderId="16" xfId="61" applyNumberFormat="1" applyFont="1" applyFill="1" applyBorder="1" applyAlignment="1">
      <alignment vertical="top" wrapText="1"/>
    </xf>
    <xf numFmtId="184" fontId="9" fillId="33" borderId="16" xfId="61" applyNumberFormat="1" applyFont="1" applyFill="1" applyBorder="1" applyAlignment="1">
      <alignment horizontal="left" vertical="top" wrapText="1"/>
    </xf>
    <xf numFmtId="184" fontId="9" fillId="0" borderId="25" xfId="61" applyNumberFormat="1" applyFont="1" applyFill="1" applyBorder="1" applyAlignment="1">
      <alignment horizontal="left" vertical="top" wrapText="1"/>
    </xf>
    <xf numFmtId="184" fontId="9" fillId="0" borderId="16" xfId="61" applyNumberFormat="1" applyFont="1" applyBorder="1" applyAlignment="1">
      <alignment vertical="top"/>
    </xf>
    <xf numFmtId="184" fontId="9" fillId="0" borderId="23" xfId="61" applyNumberFormat="1" applyFont="1" applyFill="1" applyBorder="1" applyAlignment="1">
      <alignment vertical="top"/>
    </xf>
    <xf numFmtId="184" fontId="9" fillId="33" borderId="15" xfId="61" applyNumberFormat="1" applyFont="1" applyFill="1" applyBorder="1" applyAlignment="1">
      <alignment horizontal="left" vertical="top" wrapText="1"/>
    </xf>
    <xf numFmtId="184" fontId="9" fillId="0" borderId="17" xfId="61" applyNumberFormat="1" applyFont="1" applyFill="1" applyBorder="1" applyAlignment="1">
      <alignment horizontal="left" vertical="top" wrapText="1"/>
    </xf>
    <xf numFmtId="184" fontId="9" fillId="42" borderId="10" xfId="61" applyNumberFormat="1" applyFont="1" applyFill="1" applyBorder="1" applyAlignment="1">
      <alignment horizontal="center" vertical="top" wrapText="1"/>
    </xf>
    <xf numFmtId="184" fontId="9" fillId="0" borderId="15" xfId="61" applyNumberFormat="1" applyFont="1" applyFill="1" applyBorder="1" applyAlignment="1">
      <alignment vertical="top" textRotation="90" wrapText="1"/>
    </xf>
    <xf numFmtId="184" fontId="11" fillId="0" borderId="15" xfId="61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11" fillId="0" borderId="23" xfId="0" applyFont="1" applyFill="1" applyBorder="1" applyAlignment="1">
      <alignment horizontal="left" vertical="top" wrapText="1"/>
    </xf>
    <xf numFmtId="184" fontId="9" fillId="0" borderId="23" xfId="61" applyNumberFormat="1" applyFont="1" applyBorder="1" applyAlignment="1">
      <alignment vertical="top"/>
    </xf>
    <xf numFmtId="184" fontId="9" fillId="33" borderId="23" xfId="61" applyNumberFormat="1" applyFont="1" applyFill="1" applyBorder="1" applyAlignment="1">
      <alignment horizontal="left" vertical="top" wrapText="1"/>
    </xf>
    <xf numFmtId="3" fontId="11" fillId="42" borderId="18" xfId="0" applyNumberFormat="1" applyFont="1" applyFill="1" applyBorder="1" applyAlignment="1">
      <alignment horizontal="center" vertical="top" wrapText="1"/>
    </xf>
    <xf numFmtId="3" fontId="11" fillId="42" borderId="10" xfId="0" applyNumberFormat="1" applyFont="1" applyFill="1" applyBorder="1" applyAlignment="1">
      <alignment horizontal="center" vertical="top" wrapText="1"/>
    </xf>
    <xf numFmtId="184" fontId="9" fillId="0" borderId="10" xfId="61" applyNumberFormat="1" applyFont="1" applyFill="1" applyBorder="1" applyAlignment="1">
      <alignment horizontal="left" vertical="top" wrapText="1"/>
    </xf>
    <xf numFmtId="17" fontId="9" fillId="0" borderId="10" xfId="61" applyNumberFormat="1" applyFont="1" applyFill="1" applyBorder="1" applyAlignment="1">
      <alignment horizontal="center" vertical="top" wrapText="1"/>
    </xf>
    <xf numFmtId="184" fontId="9" fillId="0" borderId="16" xfId="61" applyNumberFormat="1" applyFont="1" applyFill="1" applyBorder="1" applyAlignment="1">
      <alignment vertical="top" textRotation="90" wrapText="1"/>
    </xf>
    <xf numFmtId="184" fontId="11" fillId="0" borderId="16" xfId="61" applyNumberFormat="1" applyFont="1" applyFill="1" applyBorder="1" applyAlignment="1">
      <alignment horizontal="left" vertical="top" wrapText="1"/>
    </xf>
    <xf numFmtId="3" fontId="11" fillId="35" borderId="18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17" fontId="9" fillId="0" borderId="15" xfId="61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6" xfId="0" applyFont="1" applyBorder="1" applyAlignment="1">
      <alignment vertical="top"/>
    </xf>
    <xf numFmtId="184" fontId="9" fillId="0" borderId="23" xfId="61" applyNumberFormat="1" applyFont="1" applyFill="1" applyBorder="1" applyAlignment="1">
      <alignment/>
    </xf>
    <xf numFmtId="2" fontId="11" fillId="0" borderId="16" xfId="0" applyNumberFormat="1" applyFont="1" applyBorder="1" applyAlignment="1">
      <alignment vertical="top"/>
    </xf>
    <xf numFmtId="2" fontId="9" fillId="0" borderId="16" xfId="0" applyNumberFormat="1" applyFont="1" applyBorder="1" applyAlignment="1">
      <alignment vertical="top" wrapText="1"/>
    </xf>
    <xf numFmtId="2" fontId="9" fillId="36" borderId="10" xfId="0" applyNumberFormat="1" applyFont="1" applyFill="1" applyBorder="1" applyAlignment="1">
      <alignment horizontal="center" vertical="top" wrapText="1"/>
    </xf>
    <xf numFmtId="184" fontId="9" fillId="36" borderId="18" xfId="61" applyNumberFormat="1" applyFont="1" applyFill="1" applyBorder="1" applyAlignment="1">
      <alignment vertical="top"/>
    </xf>
    <xf numFmtId="0" fontId="9" fillId="33" borderId="14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4" fontId="9" fillId="0" borderId="16" xfId="61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left" vertical="top" wrapText="1"/>
    </xf>
    <xf numFmtId="184" fontId="9" fillId="0" borderId="23" xfId="61" applyNumberFormat="1" applyFont="1" applyBorder="1" applyAlignment="1">
      <alignment vertical="top" wrapText="1"/>
    </xf>
    <xf numFmtId="0" fontId="11" fillId="33" borderId="16" xfId="0" applyFont="1" applyFill="1" applyBorder="1" applyAlignment="1">
      <alignment/>
    </xf>
    <xf numFmtId="0" fontId="9" fillId="33" borderId="16" xfId="0" applyFont="1" applyFill="1" applyBorder="1" applyAlignment="1">
      <alignment vertical="top" wrapText="1"/>
    </xf>
    <xf numFmtId="184" fontId="9" fillId="0" borderId="16" xfId="61" applyNumberFormat="1" applyFont="1" applyBorder="1" applyAlignment="1">
      <alignment vertical="top" wrapText="1"/>
    </xf>
    <xf numFmtId="184" fontId="9" fillId="36" borderId="10" xfId="61" applyNumberFormat="1" applyFont="1" applyFill="1" applyBorder="1" applyAlignment="1">
      <alignment vertical="top" wrapText="1"/>
    </xf>
    <xf numFmtId="184" fontId="9" fillId="0" borderId="32" xfId="61" applyNumberFormat="1" applyFont="1" applyFill="1" applyBorder="1" applyAlignment="1">
      <alignment vertical="top" textRotation="90" wrapText="1"/>
    </xf>
    <xf numFmtId="0" fontId="9" fillId="33" borderId="14" xfId="0" applyFont="1" applyFill="1" applyBorder="1" applyAlignment="1">
      <alignment vertical="top" wrapText="1"/>
    </xf>
    <xf numFmtId="184" fontId="9" fillId="33" borderId="0" xfId="61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 vertical="top" wrapText="1"/>
    </xf>
    <xf numFmtId="184" fontId="9" fillId="35" borderId="10" xfId="61" applyNumberFormat="1" applyFont="1" applyFill="1" applyBorder="1" applyAlignment="1">
      <alignment vertical="top" wrapText="1"/>
    </xf>
    <xf numFmtId="0" fontId="9" fillId="0" borderId="25" xfId="0" applyFont="1" applyBorder="1" applyAlignment="1">
      <alignment vertical="top"/>
    </xf>
    <xf numFmtId="184" fontId="9" fillId="0" borderId="16" xfId="61" applyNumberFormat="1" applyFont="1" applyFill="1" applyBorder="1" applyAlignment="1">
      <alignment/>
    </xf>
    <xf numFmtId="0" fontId="7" fillId="0" borderId="25" xfId="0" applyFont="1" applyBorder="1" applyAlignment="1">
      <alignment vertical="top" wrapText="1"/>
    </xf>
    <xf numFmtId="184" fontId="9" fillId="0" borderId="16" xfId="61" applyNumberFormat="1" applyFont="1" applyFill="1" applyBorder="1" applyAlignment="1">
      <alignment/>
    </xf>
    <xf numFmtId="184" fontId="9" fillId="35" borderId="10" xfId="61" applyNumberFormat="1" applyFont="1" applyFill="1" applyBorder="1" applyAlignment="1">
      <alignment horizontal="right"/>
    </xf>
    <xf numFmtId="0" fontId="9" fillId="0" borderId="25" xfId="0" applyFont="1" applyBorder="1" applyAlignment="1">
      <alignment vertical="top" wrapText="1"/>
    </xf>
    <xf numFmtId="184" fontId="11" fillId="38" borderId="10" xfId="61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33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2" fontId="9" fillId="42" borderId="30" xfId="0" applyNumberFormat="1" applyFont="1" applyFill="1" applyBorder="1" applyAlignment="1">
      <alignment horizontal="center" vertical="top" wrapText="1"/>
    </xf>
    <xf numFmtId="184" fontId="9" fillId="42" borderId="30" xfId="6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textRotation="90" wrapText="1"/>
    </xf>
    <xf numFmtId="0" fontId="9" fillId="0" borderId="11" xfId="0" applyFont="1" applyFill="1" applyBorder="1" applyAlignment="1">
      <alignment vertical="top" wrapText="1"/>
    </xf>
    <xf numFmtId="184" fontId="9" fillId="0" borderId="14" xfId="61" applyNumberFormat="1" applyFont="1" applyBorder="1" applyAlignment="1">
      <alignment horizontal="center" vertical="top" textRotation="90" readingOrder="1"/>
    </xf>
    <xf numFmtId="184" fontId="9" fillId="0" borderId="16" xfId="61" applyNumberFormat="1" applyFont="1" applyBorder="1" applyAlignment="1">
      <alignment horizontal="center" vertical="top" textRotation="90" readingOrder="1"/>
    </xf>
    <xf numFmtId="3" fontId="11" fillId="35" borderId="10" xfId="61" applyNumberFormat="1" applyFont="1" applyFill="1" applyBorder="1" applyAlignment="1">
      <alignment vertical="center" wrapText="1" readingOrder="1"/>
    </xf>
    <xf numFmtId="3" fontId="104" fillId="0" borderId="0" xfId="0" applyNumberFormat="1" applyFont="1" applyAlignment="1">
      <alignment/>
    </xf>
    <xf numFmtId="184" fontId="98" fillId="7" borderId="10" xfId="61" applyNumberFormat="1" applyFont="1" applyFill="1" applyBorder="1" applyAlignment="1">
      <alignment/>
    </xf>
    <xf numFmtId="184" fontId="98" fillId="7" borderId="0" xfId="61" applyNumberFormat="1" applyFont="1" applyFill="1" applyAlignment="1">
      <alignment/>
    </xf>
    <xf numFmtId="0" fontId="116" fillId="7" borderId="14" xfId="0" applyFont="1" applyFill="1" applyBorder="1" applyAlignment="1">
      <alignment vertical="top" wrapText="1" readingOrder="1"/>
    </xf>
    <xf numFmtId="3" fontId="116" fillId="7" borderId="14" xfId="61" applyNumberFormat="1" applyFont="1" applyFill="1" applyBorder="1" applyAlignment="1">
      <alignment vertical="top" wrapText="1" readingOrder="1"/>
    </xf>
    <xf numFmtId="0" fontId="98" fillId="7" borderId="15" xfId="0" applyFont="1" applyFill="1" applyBorder="1" applyAlignment="1">
      <alignment horizontal="left" vertical="top" wrapText="1"/>
    </xf>
    <xf numFmtId="3" fontId="116" fillId="7" borderId="15" xfId="61" applyNumberFormat="1" applyFont="1" applyFill="1" applyBorder="1" applyAlignment="1">
      <alignment vertical="top" wrapText="1" readingOrder="1"/>
    </xf>
    <xf numFmtId="3" fontId="116" fillId="7" borderId="10" xfId="61" applyNumberFormat="1" applyFont="1" applyFill="1" applyBorder="1" applyAlignment="1">
      <alignment vertical="top" wrapText="1" readingOrder="1"/>
    </xf>
    <xf numFmtId="0" fontId="11" fillId="7" borderId="10" xfId="0" applyFont="1" applyFill="1" applyBorder="1" applyAlignment="1">
      <alignment horizontal="left" vertical="top" wrapText="1"/>
    </xf>
    <xf numFmtId="43" fontId="11" fillId="7" borderId="10" xfId="61" applyFont="1" applyFill="1" applyBorder="1" applyAlignment="1">
      <alignment horizontal="center" vertical="top" textRotation="90" wrapText="1"/>
    </xf>
    <xf numFmtId="0" fontId="115" fillId="7" borderId="15" xfId="0" applyFont="1" applyFill="1" applyBorder="1" applyAlignment="1">
      <alignment horizontal="center" vertical="top" wrapText="1" readingOrder="1"/>
    </xf>
    <xf numFmtId="3" fontId="115" fillId="7" borderId="10" xfId="61" applyNumberFormat="1" applyFont="1" applyFill="1" applyBorder="1" applyAlignment="1">
      <alignment vertical="top" wrapText="1" readingOrder="1"/>
    </xf>
    <xf numFmtId="3" fontId="116" fillId="7" borderId="16" xfId="61" applyNumberFormat="1" applyFont="1" applyFill="1" applyBorder="1" applyAlignment="1">
      <alignment vertical="top" wrapText="1" readingOrder="1"/>
    </xf>
    <xf numFmtId="0" fontId="116" fillId="7" borderId="14" xfId="0" applyFont="1" applyFill="1" applyBorder="1" applyAlignment="1">
      <alignment horizontal="left" vertical="top" wrapText="1" readingOrder="1"/>
    </xf>
    <xf numFmtId="0" fontId="116" fillId="7" borderId="16" xfId="0" applyFont="1" applyFill="1" applyBorder="1" applyAlignment="1">
      <alignment horizontal="left" vertical="top" wrapText="1" readingOrder="1"/>
    </xf>
    <xf numFmtId="0" fontId="9" fillId="7" borderId="16" xfId="0" applyFont="1" applyFill="1" applyBorder="1" applyAlignment="1">
      <alignment vertical="top" wrapText="1"/>
    </xf>
    <xf numFmtId="0" fontId="116" fillId="7" borderId="15" xfId="0" applyFont="1" applyFill="1" applyBorder="1" applyAlignment="1">
      <alignment horizontal="left" vertical="top" wrapText="1" readingOrder="1"/>
    </xf>
    <xf numFmtId="0" fontId="116" fillId="7" borderId="10" xfId="0" applyFont="1" applyFill="1" applyBorder="1" applyAlignment="1">
      <alignment horizontal="center" vertical="top" wrapText="1" readingOrder="1"/>
    </xf>
    <xf numFmtId="0" fontId="98" fillId="7" borderId="10" xfId="0" applyFont="1" applyFill="1" applyBorder="1" applyAlignment="1">
      <alignment/>
    </xf>
    <xf numFmtId="0" fontId="116" fillId="7" borderId="10" xfId="0" applyFont="1" applyFill="1" applyBorder="1" applyAlignment="1">
      <alignment horizontal="left" vertical="top" wrapText="1" readingOrder="1"/>
    </xf>
    <xf numFmtId="0" fontId="116" fillId="34" borderId="14" xfId="0" applyFont="1" applyFill="1" applyBorder="1" applyAlignment="1">
      <alignment horizontal="left" vertical="center" wrapText="1" readingOrder="1"/>
    </xf>
    <xf numFmtId="3" fontId="116" fillId="34" borderId="14" xfId="61" applyNumberFormat="1" applyFont="1" applyFill="1" applyBorder="1" applyAlignment="1">
      <alignment vertical="top" wrapText="1" readingOrder="1"/>
    </xf>
    <xf numFmtId="0" fontId="116" fillId="34" borderId="16" xfId="0" applyFont="1" applyFill="1" applyBorder="1" applyAlignment="1">
      <alignment horizontal="left" vertical="center" wrapText="1" readingOrder="1"/>
    </xf>
    <xf numFmtId="3" fontId="116" fillId="34" borderId="16" xfId="61" applyNumberFormat="1" applyFont="1" applyFill="1" applyBorder="1" applyAlignment="1">
      <alignment vertical="top" wrapText="1" readingOrder="1"/>
    </xf>
    <xf numFmtId="0" fontId="116" fillId="34" borderId="25" xfId="0" applyFont="1" applyFill="1" applyBorder="1" applyAlignment="1">
      <alignment horizontal="left" vertical="center" wrapText="1" readingOrder="1"/>
    </xf>
    <xf numFmtId="0" fontId="9" fillId="34" borderId="16" xfId="0" applyFont="1" applyFill="1" applyBorder="1" applyAlignment="1">
      <alignment horizontal="left" vertical="center" wrapText="1" readingOrder="1"/>
    </xf>
    <xf numFmtId="0" fontId="116" fillId="34" borderId="15" xfId="0" applyFont="1" applyFill="1" applyBorder="1" applyAlignment="1">
      <alignment horizontal="left" vertical="center" wrapText="1" readingOrder="1"/>
    </xf>
    <xf numFmtId="3" fontId="116" fillId="34" borderId="15" xfId="61" applyNumberFormat="1" applyFont="1" applyFill="1" applyBorder="1" applyAlignment="1">
      <alignment vertical="top" wrapText="1" readingOrder="1"/>
    </xf>
    <xf numFmtId="0" fontId="116" fillId="34" borderId="10" xfId="0" applyFont="1" applyFill="1" applyBorder="1" applyAlignment="1">
      <alignment horizontal="center" vertical="center" wrapText="1" readingOrder="1"/>
    </xf>
    <xf numFmtId="3" fontId="116" fillId="34" borderId="10" xfId="61" applyNumberFormat="1" applyFont="1" applyFill="1" applyBorder="1" applyAlignment="1">
      <alignment vertical="top" wrapText="1" readingOrder="1"/>
    </xf>
    <xf numFmtId="0" fontId="116" fillId="34" borderId="23" xfId="0" applyFont="1" applyFill="1" applyBorder="1" applyAlignment="1">
      <alignment horizontal="left" vertical="center" wrapText="1" readingOrder="1"/>
    </xf>
    <xf numFmtId="0" fontId="9" fillId="34" borderId="16" xfId="61" applyNumberFormat="1" applyFont="1" applyFill="1" applyBorder="1" applyAlignment="1">
      <alignment horizontal="left" vertical="top" wrapText="1" readingOrder="1"/>
    </xf>
    <xf numFmtId="0" fontId="116" fillId="34" borderId="16" xfId="0" applyNumberFormat="1" applyFont="1" applyFill="1" applyBorder="1" applyAlignment="1">
      <alignment horizontal="left" vertical="center" wrapText="1" readingOrder="1"/>
    </xf>
    <xf numFmtId="0" fontId="116" fillId="34" borderId="18" xfId="0" applyFont="1" applyFill="1" applyBorder="1" applyAlignment="1">
      <alignment horizontal="center" vertical="center" wrapText="1" readingOrder="1"/>
    </xf>
    <xf numFmtId="0" fontId="98" fillId="34" borderId="15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vertical="top" wrapText="1" readingOrder="1"/>
    </xf>
    <xf numFmtId="3" fontId="9" fillId="12" borderId="10" xfId="61" applyNumberFormat="1" applyFont="1" applyFill="1" applyBorder="1" applyAlignment="1">
      <alignment vertical="top" wrapText="1" readingOrder="1"/>
    </xf>
    <xf numFmtId="184" fontId="9" fillId="12" borderId="14" xfId="61" applyNumberFormat="1" applyFont="1" applyFill="1" applyBorder="1" applyAlignment="1">
      <alignment/>
    </xf>
    <xf numFmtId="184" fontId="9" fillId="12" borderId="13" xfId="61" applyNumberFormat="1" applyFont="1" applyFill="1" applyBorder="1" applyAlignment="1">
      <alignment/>
    </xf>
    <xf numFmtId="0" fontId="9" fillId="12" borderId="10" xfId="0" applyFont="1" applyFill="1" applyBorder="1" applyAlignment="1">
      <alignment horizontal="left" vertical="top" wrapText="1"/>
    </xf>
    <xf numFmtId="184" fontId="9" fillId="12" borderId="16" xfId="61" applyNumberFormat="1" applyFont="1" applyFill="1" applyBorder="1" applyAlignment="1">
      <alignment/>
    </xf>
    <xf numFmtId="184" fontId="9" fillId="12" borderId="0" xfId="61" applyNumberFormat="1" applyFont="1" applyFill="1" applyBorder="1" applyAlignment="1">
      <alignment/>
    </xf>
    <xf numFmtId="0" fontId="9" fillId="12" borderId="10" xfId="0" applyFont="1" applyFill="1" applyBorder="1" applyAlignment="1">
      <alignment vertical="top" wrapText="1"/>
    </xf>
    <xf numFmtId="0" fontId="9" fillId="12" borderId="16" xfId="0" applyFont="1" applyFill="1" applyBorder="1" applyAlignment="1">
      <alignment horizontal="center" vertical="top" textRotation="90" wrapText="1"/>
    </xf>
    <xf numFmtId="0" fontId="9" fillId="12" borderId="16" xfId="0" applyFont="1" applyFill="1" applyBorder="1" applyAlignment="1">
      <alignment horizontal="center" vertical="top" wrapText="1"/>
    </xf>
    <xf numFmtId="184" fontId="9" fillId="12" borderId="16" xfId="61" applyNumberFormat="1" applyFont="1" applyFill="1" applyBorder="1" applyAlignment="1">
      <alignment horizontal="center" vertical="top" textRotation="90" wrapText="1"/>
    </xf>
    <xf numFmtId="0" fontId="9" fillId="12" borderId="10" xfId="0" applyFont="1" applyFill="1" applyBorder="1" applyAlignment="1">
      <alignment/>
    </xf>
    <xf numFmtId="3" fontId="9" fillId="12" borderId="0" xfId="0" applyNumberFormat="1" applyFont="1" applyFill="1" applyBorder="1" applyAlignment="1">
      <alignment/>
    </xf>
    <xf numFmtId="0" fontId="9" fillId="12" borderId="10" xfId="0" applyFont="1" applyFill="1" applyBorder="1" applyAlignment="1">
      <alignment horizontal="center" vertical="top" wrapText="1" readingOrder="1"/>
    </xf>
    <xf numFmtId="184" fontId="9" fillId="12" borderId="16" xfId="61" applyNumberFormat="1" applyFont="1" applyFill="1" applyBorder="1" applyAlignment="1">
      <alignment vertical="top" wrapText="1"/>
    </xf>
    <xf numFmtId="184" fontId="9" fillId="12" borderId="16" xfId="61" applyNumberFormat="1" applyFont="1" applyFill="1" applyBorder="1" applyAlignment="1">
      <alignment horizontal="center" vertical="center" wrapText="1"/>
    </xf>
    <xf numFmtId="184" fontId="9" fillId="12" borderId="16" xfId="61" applyNumberFormat="1" applyFont="1" applyFill="1" applyBorder="1" applyAlignment="1">
      <alignment horizontal="center" vertical="top" wrapText="1" readingOrder="1"/>
    </xf>
    <xf numFmtId="184" fontId="9" fillId="12" borderId="16" xfId="61" applyNumberFormat="1" applyFont="1" applyFill="1" applyBorder="1" applyAlignment="1">
      <alignment vertical="top" textRotation="90" wrapText="1"/>
    </xf>
    <xf numFmtId="184" fontId="9" fillId="12" borderId="16" xfId="61" applyNumberFormat="1" applyFont="1" applyFill="1" applyBorder="1" applyAlignment="1">
      <alignment horizontal="left" vertical="top" wrapText="1"/>
    </xf>
    <xf numFmtId="184" fontId="9" fillId="12" borderId="25" xfId="61" applyNumberFormat="1" applyFont="1" applyFill="1" applyBorder="1" applyAlignment="1">
      <alignment horizontal="left" vertical="top" wrapText="1"/>
    </xf>
    <xf numFmtId="184" fontId="9" fillId="12" borderId="16" xfId="61" applyNumberFormat="1" applyFont="1" applyFill="1" applyBorder="1" applyAlignment="1">
      <alignment horizontal="center" vertical="top" wrapText="1"/>
    </xf>
    <xf numFmtId="184" fontId="9" fillId="12" borderId="0" xfId="61" applyNumberFormat="1" applyFont="1" applyFill="1" applyBorder="1" applyAlignment="1">
      <alignment vertical="top" textRotation="90" wrapText="1"/>
    </xf>
    <xf numFmtId="184" fontId="9" fillId="12" borderId="16" xfId="61" applyNumberFormat="1" applyFont="1" applyFill="1" applyBorder="1" applyAlignment="1">
      <alignment vertical="top"/>
    </xf>
    <xf numFmtId="184" fontId="9" fillId="12" borderId="23" xfId="61" applyNumberFormat="1" applyFont="1" applyFill="1" applyBorder="1" applyAlignment="1">
      <alignment vertical="top"/>
    </xf>
    <xf numFmtId="184" fontId="9" fillId="12" borderId="15" xfId="61" applyNumberFormat="1" applyFont="1" applyFill="1" applyBorder="1" applyAlignment="1">
      <alignment horizontal="left" vertical="top" wrapText="1"/>
    </xf>
    <xf numFmtId="184" fontId="9" fillId="12" borderId="17" xfId="61" applyNumberFormat="1" applyFont="1" applyFill="1" applyBorder="1" applyAlignment="1">
      <alignment horizontal="left" vertical="top" wrapText="1"/>
    </xf>
    <xf numFmtId="184" fontId="9" fillId="12" borderId="10" xfId="61" applyNumberFormat="1" applyFont="1" applyFill="1" applyBorder="1" applyAlignment="1">
      <alignment horizontal="center" vertical="top" wrapText="1"/>
    </xf>
    <xf numFmtId="184" fontId="9" fillId="12" borderId="10" xfId="61" applyNumberFormat="1" applyFont="1" applyFill="1" applyBorder="1" applyAlignment="1">
      <alignment horizontal="center" vertical="center" wrapText="1"/>
    </xf>
    <xf numFmtId="184" fontId="9" fillId="12" borderId="15" xfId="61" applyNumberFormat="1" applyFont="1" applyFill="1" applyBorder="1" applyAlignment="1">
      <alignment vertical="top" textRotation="90" wrapText="1"/>
    </xf>
    <xf numFmtId="184" fontId="9" fillId="12" borderId="15" xfId="61" applyNumberFormat="1" applyFont="1" applyFill="1" applyBorder="1" applyAlignment="1">
      <alignment vertical="top" wrapText="1"/>
    </xf>
    <xf numFmtId="184" fontId="9" fillId="12" borderId="11" xfId="61" applyNumberFormat="1" applyFont="1" applyFill="1" applyBorder="1" applyAlignment="1">
      <alignment vertical="top" textRotation="90" wrapText="1"/>
    </xf>
    <xf numFmtId="184" fontId="9" fillId="12" borderId="17" xfId="61" applyNumberFormat="1" applyFont="1" applyFill="1" applyBorder="1" applyAlignment="1">
      <alignment vertical="top" textRotation="90" wrapText="1"/>
    </xf>
    <xf numFmtId="184" fontId="11" fillId="12" borderId="15" xfId="61" applyNumberFormat="1" applyFont="1" applyFill="1" applyBorder="1" applyAlignment="1">
      <alignment horizontal="left" vertical="top" wrapText="1"/>
    </xf>
    <xf numFmtId="2" fontId="11" fillId="12" borderId="14" xfId="0" applyNumberFormat="1" applyFont="1" applyFill="1" applyBorder="1" applyAlignment="1">
      <alignment vertical="top" wrapText="1"/>
    </xf>
    <xf numFmtId="184" fontId="9" fillId="12" borderId="14" xfId="61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top" wrapText="1" readingOrder="1"/>
    </xf>
    <xf numFmtId="184" fontId="9" fillId="12" borderId="14" xfId="61" applyNumberFormat="1" applyFont="1" applyFill="1" applyBorder="1" applyAlignment="1">
      <alignment horizontal="center" vertical="top" wrapText="1" readingOrder="1"/>
    </xf>
    <xf numFmtId="2" fontId="9" fillId="12" borderId="16" xfId="0" applyNumberFormat="1" applyFont="1" applyFill="1" applyBorder="1" applyAlignment="1">
      <alignment vertical="top" wrapText="1"/>
    </xf>
    <xf numFmtId="0" fontId="9" fillId="12" borderId="16" xfId="0" applyFont="1" applyFill="1" applyBorder="1" applyAlignment="1">
      <alignment horizontal="center" vertical="top" wrapText="1" readingOrder="1"/>
    </xf>
    <xf numFmtId="2" fontId="11" fillId="12" borderId="16" xfId="0" applyNumberFormat="1" applyFont="1" applyFill="1" applyBorder="1" applyAlignment="1">
      <alignment vertical="top" wrapText="1"/>
    </xf>
    <xf numFmtId="0" fontId="9" fillId="12" borderId="15" xfId="0" applyFont="1" applyFill="1" applyBorder="1" applyAlignment="1">
      <alignment horizontal="left" vertical="top" wrapText="1"/>
    </xf>
    <xf numFmtId="0" fontId="9" fillId="12" borderId="17" xfId="0" applyFont="1" applyFill="1" applyBorder="1" applyAlignment="1">
      <alignment horizontal="left" vertical="top" wrapText="1"/>
    </xf>
    <xf numFmtId="2" fontId="9" fillId="12" borderId="10" xfId="0" applyNumberFormat="1" applyFont="1" applyFill="1" applyBorder="1" applyAlignment="1">
      <alignment horizontal="center" vertical="top" wrapText="1"/>
    </xf>
    <xf numFmtId="0" fontId="9" fillId="12" borderId="15" xfId="0" applyFont="1" applyFill="1" applyBorder="1" applyAlignment="1">
      <alignment vertical="top" textRotation="90" wrapText="1"/>
    </xf>
    <xf numFmtId="0" fontId="9" fillId="12" borderId="15" xfId="0" applyFont="1" applyFill="1" applyBorder="1" applyAlignment="1">
      <alignment vertical="top" wrapText="1"/>
    </xf>
    <xf numFmtId="0" fontId="11" fillId="12" borderId="15" xfId="0" applyFont="1" applyFill="1" applyBorder="1" applyAlignment="1">
      <alignment horizontal="left" vertical="top" wrapText="1"/>
    </xf>
    <xf numFmtId="184" fontId="9" fillId="12" borderId="14" xfId="61" applyNumberFormat="1" applyFont="1" applyFill="1" applyBorder="1" applyAlignment="1">
      <alignment vertical="top" wrapText="1"/>
    </xf>
    <xf numFmtId="0" fontId="9" fillId="12" borderId="16" xfId="0" applyFont="1" applyFill="1" applyBorder="1" applyAlignment="1">
      <alignment horizontal="left" vertical="top" wrapText="1"/>
    </xf>
    <xf numFmtId="184" fontId="9" fillId="12" borderId="16" xfId="61" applyNumberFormat="1" applyFont="1" applyFill="1" applyBorder="1" applyAlignment="1">
      <alignment horizontal="center" vertical="top" textRotation="90" wrapText="1" readingOrder="1"/>
    </xf>
    <xf numFmtId="184" fontId="9" fillId="12" borderId="0" xfId="61" applyNumberFormat="1" applyFont="1" applyFill="1" applyBorder="1" applyAlignment="1">
      <alignment horizontal="center" vertical="top" textRotation="90" wrapText="1" readingOrder="1"/>
    </xf>
    <xf numFmtId="184" fontId="9" fillId="12" borderId="25" xfId="61" applyNumberFormat="1" applyFont="1" applyFill="1" applyBorder="1" applyAlignment="1">
      <alignment horizontal="center" vertical="top" textRotation="90" wrapText="1" readingOrder="1"/>
    </xf>
    <xf numFmtId="184" fontId="9" fillId="12" borderId="15" xfId="61" applyNumberFormat="1" applyFont="1" applyFill="1" applyBorder="1" applyAlignment="1">
      <alignment horizontal="center" vertical="top" wrapText="1"/>
    </xf>
    <xf numFmtId="184" fontId="9" fillId="12" borderId="15" xfId="61" applyNumberFormat="1" applyFont="1" applyFill="1" applyBorder="1" applyAlignment="1">
      <alignment horizontal="center" vertical="top" textRotation="90" wrapText="1" readingOrder="1"/>
    </xf>
    <xf numFmtId="184" fontId="9" fillId="12" borderId="11" xfId="61" applyNumberFormat="1" applyFont="1" applyFill="1" applyBorder="1" applyAlignment="1">
      <alignment horizontal="center" vertical="top" textRotation="90" wrapText="1" readingOrder="1"/>
    </xf>
    <xf numFmtId="184" fontId="9" fillId="12" borderId="17" xfId="61" applyNumberFormat="1" applyFont="1" applyFill="1" applyBorder="1" applyAlignment="1">
      <alignment horizontal="center" vertical="top" textRotation="90" wrapText="1" readingOrder="1"/>
    </xf>
    <xf numFmtId="0" fontId="9" fillId="12" borderId="14" xfId="0" applyFont="1" applyFill="1" applyBorder="1" applyAlignment="1">
      <alignment vertical="top" wrapText="1"/>
    </xf>
    <xf numFmtId="0" fontId="9" fillId="12" borderId="14" xfId="0" applyFont="1" applyFill="1" applyBorder="1" applyAlignment="1">
      <alignment horizontal="left" vertical="top" wrapText="1"/>
    </xf>
    <xf numFmtId="0" fontId="9" fillId="12" borderId="24" xfId="0" applyFont="1" applyFill="1" applyBorder="1" applyAlignment="1">
      <alignment horizontal="left" vertical="top" wrapText="1"/>
    </xf>
    <xf numFmtId="184" fontId="9" fillId="12" borderId="14" xfId="61" applyNumberFormat="1" applyFont="1" applyFill="1" applyBorder="1" applyAlignment="1">
      <alignment horizontal="left" vertical="top" wrapText="1"/>
    </xf>
    <xf numFmtId="184" fontId="9" fillId="12" borderId="14" xfId="61" applyNumberFormat="1" applyFont="1" applyFill="1" applyBorder="1" applyAlignment="1">
      <alignment vertical="top"/>
    </xf>
    <xf numFmtId="184" fontId="9" fillId="12" borderId="14" xfId="61" applyNumberFormat="1" applyFont="1" applyFill="1" applyBorder="1" applyAlignment="1">
      <alignment horizontal="center" vertical="top" textRotation="90" wrapText="1" readingOrder="1"/>
    </xf>
    <xf numFmtId="184" fontId="9" fillId="12" borderId="13" xfId="61" applyNumberFormat="1" applyFont="1" applyFill="1" applyBorder="1" applyAlignment="1">
      <alignment horizontal="center" vertical="top" textRotation="90" wrapText="1" readingOrder="1"/>
    </xf>
    <xf numFmtId="184" fontId="9" fillId="12" borderId="24" xfId="61" applyNumberFormat="1" applyFont="1" applyFill="1" applyBorder="1" applyAlignment="1">
      <alignment horizontal="center" vertical="top" textRotation="90" wrapText="1" readingOrder="1"/>
    </xf>
    <xf numFmtId="0" fontId="9" fillId="12" borderId="16" xfId="0" applyFont="1" applyFill="1" applyBorder="1" applyAlignment="1">
      <alignment vertical="top" wrapText="1"/>
    </xf>
    <xf numFmtId="0" fontId="9" fillId="12" borderId="25" xfId="0" applyFont="1" applyFill="1" applyBorder="1" applyAlignment="1">
      <alignment horizontal="left" vertical="top" wrapText="1"/>
    </xf>
    <xf numFmtId="184" fontId="11" fillId="12" borderId="14" xfId="61" applyNumberFormat="1" applyFont="1" applyFill="1" applyBorder="1" applyAlignment="1">
      <alignment horizontal="center" vertical="center" wrapText="1"/>
    </xf>
    <xf numFmtId="184" fontId="11" fillId="12" borderId="16" xfId="61" applyNumberFormat="1" applyFont="1" applyFill="1" applyBorder="1" applyAlignment="1">
      <alignment horizontal="center" vertical="center" wrapText="1"/>
    </xf>
    <xf numFmtId="2" fontId="12" fillId="12" borderId="16" xfId="0" applyNumberFormat="1" applyFont="1" applyFill="1" applyBorder="1" applyAlignment="1">
      <alignment vertical="top" wrapText="1"/>
    </xf>
    <xf numFmtId="2" fontId="9" fillId="12" borderId="14" xfId="0" applyNumberFormat="1" applyFont="1" applyFill="1" applyBorder="1" applyAlignment="1">
      <alignment horizontal="center" vertical="top" wrapText="1"/>
    </xf>
    <xf numFmtId="0" fontId="9" fillId="12" borderId="16" xfId="0" applyFont="1" applyFill="1" applyBorder="1" applyAlignment="1">
      <alignment vertical="top" textRotation="90" wrapText="1"/>
    </xf>
    <xf numFmtId="184" fontId="9" fillId="12" borderId="25" xfId="61" applyNumberFormat="1" applyFont="1" applyFill="1" applyBorder="1" applyAlignment="1">
      <alignment vertical="top" textRotation="90" wrapText="1"/>
    </xf>
    <xf numFmtId="0" fontId="11" fillId="12" borderId="16" xfId="0" applyFont="1" applyFill="1" applyBorder="1" applyAlignment="1">
      <alignment horizontal="left" vertical="top" wrapText="1"/>
    </xf>
    <xf numFmtId="2" fontId="9" fillId="12" borderId="14" xfId="0" applyNumberFormat="1" applyFont="1" applyFill="1" applyBorder="1" applyAlignment="1">
      <alignment vertical="top" wrapText="1"/>
    </xf>
    <xf numFmtId="184" fontId="9" fillId="12" borderId="14" xfId="61" applyNumberFormat="1" applyFont="1" applyFill="1" applyBorder="1" applyAlignment="1">
      <alignment vertical="top" textRotation="90" wrapText="1"/>
    </xf>
    <xf numFmtId="0" fontId="11" fillId="12" borderId="10" xfId="0" applyFont="1" applyFill="1" applyBorder="1" applyAlignment="1">
      <alignment horizontal="center" vertical="top" wrapText="1"/>
    </xf>
    <xf numFmtId="184" fontId="9" fillId="12" borderId="10" xfId="61" applyNumberFormat="1" applyFont="1" applyFill="1" applyBorder="1" applyAlignment="1">
      <alignment horizontal="right"/>
    </xf>
    <xf numFmtId="184" fontId="9" fillId="12" borderId="15" xfId="61" applyNumberFormat="1" applyFont="1" applyFill="1" applyBorder="1" applyAlignment="1">
      <alignment/>
    </xf>
    <xf numFmtId="184" fontId="9" fillId="12" borderId="14" xfId="61" applyNumberFormat="1" applyFont="1" applyFill="1" applyBorder="1" applyAlignment="1">
      <alignment horizontal="center" vertical="top" textRotation="90" readingOrder="1"/>
    </xf>
    <xf numFmtId="184" fontId="7" fillId="12" borderId="16" xfId="61" applyNumberFormat="1" applyFont="1" applyFill="1" applyBorder="1" applyAlignment="1">
      <alignment vertical="top" wrapText="1"/>
    </xf>
    <xf numFmtId="0" fontId="9" fillId="12" borderId="16" xfId="61" applyNumberFormat="1" applyFont="1" applyFill="1" applyBorder="1" applyAlignment="1">
      <alignment horizontal="center" vertical="top" wrapText="1"/>
    </xf>
    <xf numFmtId="184" fontId="9" fillId="12" borderId="16" xfId="61" applyNumberFormat="1" applyFont="1" applyFill="1" applyBorder="1" applyAlignment="1">
      <alignment horizontal="right"/>
    </xf>
    <xf numFmtId="184" fontId="98" fillId="0" borderId="0" xfId="61" applyNumberFormat="1" applyFont="1" applyFill="1" applyAlignment="1">
      <alignment horizontal="center" vertical="center"/>
    </xf>
    <xf numFmtId="184" fontId="112" fillId="0" borderId="0" xfId="61" applyNumberFormat="1" applyFont="1" applyFill="1" applyAlignment="1">
      <alignment horizontal="center"/>
    </xf>
    <xf numFmtId="184" fontId="112" fillId="0" borderId="0" xfId="61" applyNumberFormat="1" applyFont="1" applyFill="1" applyAlignment="1">
      <alignment horizontal="center" vertical="center" wrapText="1"/>
    </xf>
    <xf numFmtId="0" fontId="115" fillId="7" borderId="10" xfId="0" applyFont="1" applyFill="1" applyBorder="1" applyAlignment="1">
      <alignment horizontal="center" vertical="top" wrapText="1" readingOrder="1"/>
    </xf>
    <xf numFmtId="0" fontId="116" fillId="34" borderId="14" xfId="0" applyFont="1" applyFill="1" applyBorder="1" applyAlignment="1">
      <alignment horizontal="left" vertical="top" wrapText="1" readingOrder="1"/>
    </xf>
    <xf numFmtId="0" fontId="116" fillId="34" borderId="16" xfId="0" applyFont="1" applyFill="1" applyBorder="1" applyAlignment="1">
      <alignment horizontal="left" vertical="top" wrapText="1" readingOrder="1"/>
    </xf>
    <xf numFmtId="0" fontId="116" fillId="34" borderId="10" xfId="0" applyFont="1" applyFill="1" applyBorder="1" applyAlignment="1">
      <alignment horizontal="center" vertical="top" wrapText="1" readingOrder="1"/>
    </xf>
    <xf numFmtId="0" fontId="98" fillId="34" borderId="10" xfId="0" applyFont="1" applyFill="1" applyBorder="1" applyAlignment="1">
      <alignment/>
    </xf>
    <xf numFmtId="0" fontId="116" fillId="34" borderId="10" xfId="0" applyFont="1" applyFill="1" applyBorder="1" applyAlignment="1">
      <alignment horizontal="left" vertical="center" wrapText="1" readingOrder="1"/>
    </xf>
    <xf numFmtId="0" fontId="116" fillId="34" borderId="14" xfId="0" applyFont="1" applyFill="1" applyBorder="1" applyAlignment="1">
      <alignment horizontal="center" vertical="center" wrapText="1" readingOrder="1"/>
    </xf>
    <xf numFmtId="0" fontId="11" fillId="35" borderId="10" xfId="0" applyFont="1" applyFill="1" applyBorder="1" applyAlignment="1">
      <alignment horizontal="center" vertical="top" wrapText="1" readingOrder="1"/>
    </xf>
    <xf numFmtId="0" fontId="98" fillId="0" borderId="10" xfId="0" applyFont="1" applyBorder="1" applyAlignment="1">
      <alignment horizontal="left" vertical="top" wrapText="1"/>
    </xf>
    <xf numFmtId="0" fontId="98" fillId="0" borderId="15" xfId="0" applyFont="1" applyBorder="1" applyAlignment="1">
      <alignment vertical="top" wrapText="1"/>
    </xf>
    <xf numFmtId="0" fontId="11" fillId="35" borderId="10" xfId="0" applyFont="1" applyFill="1" applyBorder="1" applyAlignment="1">
      <alignment horizontal="center" vertical="top" wrapText="1"/>
    </xf>
    <xf numFmtId="184" fontId="11" fillId="35" borderId="10" xfId="61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184" fontId="11" fillId="0" borderId="0" xfId="61" applyNumberFormat="1" applyFont="1" applyBorder="1" applyAlignment="1">
      <alignment horizontal="center" vertical="top" textRotation="90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top" wrapText="1" readingOrder="1"/>
    </xf>
    <xf numFmtId="43" fontId="98" fillId="0" borderId="15" xfId="0" applyNumberFormat="1" applyFont="1" applyBorder="1" applyAlignment="1">
      <alignment/>
    </xf>
    <xf numFmtId="43" fontId="11" fillId="35" borderId="10" xfId="61" applyFont="1" applyFill="1" applyBorder="1" applyAlignment="1">
      <alignment horizontal="center" vertical="top" textRotation="90" wrapText="1"/>
    </xf>
    <xf numFmtId="184" fontId="11" fillId="35" borderId="10" xfId="61" applyNumberFormat="1" applyFont="1" applyFill="1" applyBorder="1" applyAlignment="1">
      <alignment vertical="center" wrapText="1" readingOrder="1"/>
    </xf>
    <xf numFmtId="0" fontId="98" fillId="0" borderId="14" xfId="0" applyFont="1" applyBorder="1" applyAlignment="1">
      <alignment vertical="top" wrapText="1"/>
    </xf>
    <xf numFmtId="0" fontId="98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indent="1"/>
    </xf>
    <xf numFmtId="0" fontId="9" fillId="38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" fontId="9" fillId="0" borderId="10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/>
    </xf>
    <xf numFmtId="3" fontId="11" fillId="35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38" borderId="10" xfId="61" applyNumberFormat="1" applyFont="1" applyFill="1" applyBorder="1" applyAlignment="1">
      <alignment vertical="top" wrapText="1" readingOrder="1"/>
    </xf>
    <xf numFmtId="3" fontId="11" fillId="35" borderId="10" xfId="61" applyNumberFormat="1" applyFont="1" applyFill="1" applyBorder="1" applyAlignment="1">
      <alignment horizontal="center" vertical="center" wrapText="1" readingOrder="1"/>
    </xf>
    <xf numFmtId="0" fontId="9" fillId="35" borderId="10" xfId="0" applyFont="1" applyFill="1" applyBorder="1" applyAlignment="1">
      <alignment horizontal="left" vertical="top" wrapText="1"/>
    </xf>
    <xf numFmtId="3" fontId="11" fillId="0" borderId="10" xfId="61" applyNumberFormat="1" applyFont="1" applyFill="1" applyBorder="1" applyAlignment="1">
      <alignment horizontal="center" vertical="center" wrapText="1" readingOrder="1"/>
    </xf>
    <xf numFmtId="3" fontId="11" fillId="35" borderId="10" xfId="61" applyNumberFormat="1" applyFont="1" applyFill="1" applyBorder="1" applyAlignment="1">
      <alignment horizontal="center" vertical="top" wrapText="1" readingOrder="1"/>
    </xf>
    <xf numFmtId="3" fontId="11" fillId="0" borderId="10" xfId="61" applyNumberFormat="1" applyFont="1" applyFill="1" applyBorder="1" applyAlignment="1">
      <alignment horizontal="center" vertical="top" wrapText="1" readingOrder="1"/>
    </xf>
    <xf numFmtId="184" fontId="11" fillId="35" borderId="10" xfId="61" applyNumberFormat="1" applyFont="1" applyFill="1" applyBorder="1" applyAlignment="1">
      <alignment horizontal="center" vertical="top" wrapText="1" readingOrder="1"/>
    </xf>
    <xf numFmtId="0" fontId="9" fillId="35" borderId="10" xfId="0" applyFont="1" applyFill="1" applyBorder="1" applyAlignment="1">
      <alignment/>
    </xf>
    <xf numFmtId="184" fontId="9" fillId="3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 readingOrder="1"/>
    </xf>
    <xf numFmtId="3" fontId="11" fillId="0" borderId="0" xfId="61" applyNumberFormat="1" applyFont="1" applyFill="1" applyBorder="1" applyAlignment="1">
      <alignment vertical="center" wrapText="1" readingOrder="1"/>
    </xf>
    <xf numFmtId="0" fontId="11" fillId="0" borderId="0" xfId="0" applyFont="1" applyBorder="1" applyAlignment="1">
      <alignment/>
    </xf>
    <xf numFmtId="43" fontId="11" fillId="0" borderId="0" xfId="61" applyFont="1" applyBorder="1" applyAlignment="1">
      <alignment horizontal="center" vertical="top" textRotation="90" wrapText="1"/>
    </xf>
    <xf numFmtId="184" fontId="11" fillId="0" borderId="0" xfId="61" applyNumberFormat="1" applyFont="1" applyFill="1" applyBorder="1" applyAlignment="1">
      <alignment horizontal="center" vertical="top" textRotation="90" wrapText="1"/>
    </xf>
    <xf numFmtId="184" fontId="9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184" fontId="2" fillId="0" borderId="0" xfId="61" applyNumberFormat="1" applyFont="1" applyFill="1" applyAlignment="1">
      <alignment/>
    </xf>
    <xf numFmtId="184" fontId="11" fillId="0" borderId="0" xfId="61" applyNumberFormat="1" applyFont="1" applyBorder="1" applyAlignment="1">
      <alignment vertical="top" textRotation="90"/>
    </xf>
    <xf numFmtId="184" fontId="9" fillId="0" borderId="0" xfId="61" applyNumberFormat="1" applyFont="1" applyFill="1" applyAlignment="1">
      <alignment/>
    </xf>
    <xf numFmtId="184" fontId="9" fillId="0" borderId="10" xfId="61" applyNumberFormat="1" applyFont="1" applyFill="1" applyBorder="1" applyAlignment="1">
      <alignment horizontal="center" vertical="center"/>
    </xf>
    <xf numFmtId="184" fontId="9" fillId="0" borderId="10" xfId="61" applyNumberFormat="1" applyFont="1" applyFill="1" applyBorder="1" applyAlignment="1">
      <alignment horizontal="center" vertical="center" textRotation="90"/>
    </xf>
    <xf numFmtId="184" fontId="9" fillId="0" borderId="10" xfId="61" applyNumberFormat="1" applyFont="1" applyBorder="1" applyAlignment="1">
      <alignment/>
    </xf>
    <xf numFmtId="184" fontId="9" fillId="0" borderId="10" xfId="61" applyNumberFormat="1" applyFont="1" applyFill="1" applyBorder="1" applyAlignment="1">
      <alignment vertical="center" textRotation="90"/>
    </xf>
    <xf numFmtId="184" fontId="9" fillId="0" borderId="10" xfId="61" applyNumberFormat="1" applyFont="1" applyFill="1" applyBorder="1" applyAlignment="1">
      <alignment horizontal="center" vertical="top" textRotation="90"/>
    </xf>
    <xf numFmtId="184" fontId="11" fillId="35" borderId="10" xfId="61" applyNumberFormat="1" applyFont="1" applyFill="1" applyBorder="1" applyAlignment="1">
      <alignment horizontal="center" vertical="center" textRotation="90"/>
    </xf>
    <xf numFmtId="184" fontId="9" fillId="35" borderId="10" xfId="61" applyNumberFormat="1" applyFont="1" applyFill="1" applyBorder="1" applyAlignment="1">
      <alignment horizontal="center" vertical="center" textRotation="90"/>
    </xf>
    <xf numFmtId="184" fontId="9" fillId="35" borderId="10" xfId="61" applyNumberFormat="1" applyFont="1" applyFill="1" applyBorder="1" applyAlignment="1">
      <alignment horizontal="center" vertical="top" textRotation="90"/>
    </xf>
    <xf numFmtId="184" fontId="11" fillId="35" borderId="10" xfId="61" applyNumberFormat="1" applyFont="1" applyFill="1" applyBorder="1" applyAlignment="1">
      <alignment horizontal="center" vertical="top" textRotation="90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top" wrapText="1"/>
    </xf>
    <xf numFmtId="184" fontId="9" fillId="35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right" vertical="center" wrapText="1"/>
    </xf>
    <xf numFmtId="3" fontId="9" fillId="35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184" fontId="11" fillId="35" borderId="10" xfId="61" applyNumberFormat="1" applyFont="1" applyFill="1" applyBorder="1" applyAlignment="1">
      <alignment horizontal="center" vertical="center" wrapText="1" readingOrder="1"/>
    </xf>
    <xf numFmtId="184" fontId="9" fillId="0" borderId="10" xfId="61" applyNumberFormat="1" applyFont="1" applyFill="1" applyBorder="1" applyAlignment="1">
      <alignment vertical="top" textRotation="90"/>
    </xf>
    <xf numFmtId="184" fontId="9" fillId="0" borderId="10" xfId="61" applyNumberFormat="1" applyFont="1" applyFill="1" applyBorder="1" applyAlignment="1">
      <alignment horizontal="left" vertical="top" textRotation="90"/>
    </xf>
    <xf numFmtId="0" fontId="11" fillId="0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left" vertical="top" readingOrder="1"/>
    </xf>
    <xf numFmtId="184" fontId="11" fillId="0" borderId="10" xfId="61" applyNumberFormat="1" applyFont="1" applyFill="1" applyBorder="1" applyAlignment="1">
      <alignment horizontal="center" vertical="top" wrapText="1" readingOrder="1"/>
    </xf>
    <xf numFmtId="184" fontId="9" fillId="0" borderId="10" xfId="6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94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center"/>
    </xf>
    <xf numFmtId="0" fontId="127" fillId="0" borderId="0" xfId="0" applyFont="1" applyFill="1" applyAlignment="1">
      <alignment vertical="top"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 horizontal="right"/>
    </xf>
    <xf numFmtId="184" fontId="130" fillId="0" borderId="0" xfId="0" applyNumberFormat="1" applyFont="1" applyFill="1" applyAlignment="1">
      <alignment/>
    </xf>
    <xf numFmtId="2" fontId="129" fillId="0" borderId="0" xfId="0" applyNumberFormat="1" applyFont="1" applyFill="1" applyAlignment="1">
      <alignment/>
    </xf>
    <xf numFmtId="184" fontId="128" fillId="0" borderId="0" xfId="0" applyNumberFormat="1" applyFont="1" applyFill="1" applyAlignment="1">
      <alignment/>
    </xf>
    <xf numFmtId="2" fontId="128" fillId="0" borderId="0" xfId="0" applyNumberFormat="1" applyFont="1" applyFill="1" applyAlignment="1">
      <alignment/>
    </xf>
    <xf numFmtId="0" fontId="131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32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14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34" fillId="0" borderId="10" xfId="0" applyFont="1" applyFill="1" applyBorder="1" applyAlignment="1">
      <alignment horizontal="center" vertical="center" wrapText="1"/>
    </xf>
    <xf numFmtId="0" fontId="120" fillId="0" borderId="0" xfId="0" applyFont="1" applyFill="1" applyAlignment="1">
      <alignment vertical="top"/>
    </xf>
    <xf numFmtId="184" fontId="95" fillId="0" borderId="12" xfId="61" applyNumberFormat="1" applyFont="1" applyFill="1" applyBorder="1" applyAlignment="1">
      <alignment vertical="center"/>
    </xf>
    <xf numFmtId="184" fontId="95" fillId="0" borderId="10" xfId="61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vertical="top"/>
    </xf>
    <xf numFmtId="0" fontId="112" fillId="0" borderId="0" xfId="0" applyFont="1" applyFill="1" applyAlignment="1">
      <alignment/>
    </xf>
    <xf numFmtId="0" fontId="135" fillId="0" borderId="0" xfId="0" applyFont="1" applyFill="1" applyAlignment="1">
      <alignment/>
    </xf>
    <xf numFmtId="0" fontId="112" fillId="0" borderId="0" xfId="0" applyFont="1" applyFill="1" applyAlignment="1">
      <alignment horizontal="center"/>
    </xf>
    <xf numFmtId="0" fontId="112" fillId="0" borderId="0" xfId="0" applyFont="1" applyFill="1" applyAlignment="1">
      <alignment/>
    </xf>
    <xf numFmtId="184" fontId="127" fillId="0" borderId="0" xfId="0" applyNumberFormat="1" applyFont="1" applyFill="1" applyAlignment="1">
      <alignment vertical="top"/>
    </xf>
    <xf numFmtId="0" fontId="132" fillId="0" borderId="0" xfId="0" applyFont="1" applyFill="1" applyAlignment="1">
      <alignment horizontal="center" vertical="top"/>
    </xf>
    <xf numFmtId="0" fontId="112" fillId="0" borderId="0" xfId="0" applyFont="1" applyFill="1" applyAlignment="1">
      <alignment horizontal="center"/>
    </xf>
    <xf numFmtId="184" fontId="128" fillId="0" borderId="0" xfId="61" applyNumberFormat="1" applyFont="1" applyFill="1" applyBorder="1" applyAlignment="1">
      <alignment horizontal="left" vertical="center"/>
    </xf>
    <xf numFmtId="184" fontId="128" fillId="0" borderId="0" xfId="61" applyNumberFormat="1" applyFont="1" applyFill="1" applyBorder="1" applyAlignment="1">
      <alignment horizontal="left" vertical="center"/>
    </xf>
    <xf numFmtId="184" fontId="9" fillId="0" borderId="0" xfId="61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84" fontId="94" fillId="0" borderId="10" xfId="61" applyNumberFormat="1" applyFont="1" applyFill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4" fillId="0" borderId="0" xfId="0" applyFont="1" applyFill="1" applyAlignment="1">
      <alignment vertical="center"/>
    </xf>
    <xf numFmtId="0" fontId="94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readingOrder="1"/>
    </xf>
    <xf numFmtId="0" fontId="94" fillId="0" borderId="10" xfId="0" applyFont="1" applyFill="1" applyBorder="1" applyAlignment="1">
      <alignment vertical="center"/>
    </xf>
    <xf numFmtId="0" fontId="94" fillId="0" borderId="0" xfId="0" applyFont="1" applyFill="1" applyAlignment="1">
      <alignment vertical="center" wrapText="1"/>
    </xf>
    <xf numFmtId="184" fontId="94" fillId="0" borderId="10" xfId="61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 readingOrder="1"/>
    </xf>
    <xf numFmtId="0" fontId="2" fillId="0" borderId="18" xfId="0" applyFont="1" applyBorder="1" applyAlignment="1">
      <alignment vertical="top" wrapText="1"/>
    </xf>
    <xf numFmtId="0" fontId="2" fillId="43" borderId="18" xfId="0" applyFont="1" applyFill="1" applyBorder="1" applyAlignment="1">
      <alignment vertical="top" wrapText="1"/>
    </xf>
    <xf numFmtId="0" fontId="2" fillId="0" borderId="33" xfId="0" applyFont="1" applyBorder="1" applyAlignment="1">
      <alignment vertical="top" wrapText="1" readingOrder="1"/>
    </xf>
    <xf numFmtId="0" fontId="2" fillId="0" borderId="19" xfId="0" applyFont="1" applyBorder="1" applyAlignment="1">
      <alignment vertical="top" wrapText="1"/>
    </xf>
    <xf numFmtId="0" fontId="2" fillId="43" borderId="10" xfId="0" applyFont="1" applyFill="1" applyBorder="1" applyAlignment="1">
      <alignment vertical="top" wrapText="1" readingOrder="1"/>
    </xf>
    <xf numFmtId="0" fontId="95" fillId="0" borderId="14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3" fontId="2" fillId="0" borderId="10" xfId="61" applyFont="1" applyFill="1" applyBorder="1" applyAlignment="1">
      <alignment horizontal="center" vertical="center" wrapText="1"/>
    </xf>
    <xf numFmtId="43" fontId="2" fillId="44" borderId="10" xfId="61" applyFont="1" applyFill="1" applyBorder="1" applyAlignment="1">
      <alignment horizontal="right" vertical="top" wrapText="1"/>
    </xf>
    <xf numFmtId="43" fontId="2" fillId="43" borderId="10" xfId="61" applyFont="1" applyFill="1" applyBorder="1" applyAlignment="1">
      <alignment horizontal="right" vertical="top" wrapText="1" readingOrder="1"/>
    </xf>
    <xf numFmtId="43" fontId="10" fillId="0" borderId="10" xfId="61" applyFont="1" applyFill="1" applyBorder="1" applyAlignment="1">
      <alignment vertical="center" wrapText="1" readingOrder="1"/>
    </xf>
    <xf numFmtId="43" fontId="2" fillId="43" borderId="33" xfId="61" applyFont="1" applyFill="1" applyBorder="1" applyAlignment="1">
      <alignment horizontal="right" vertical="top" wrapText="1" readingOrder="1"/>
    </xf>
    <xf numFmtId="43" fontId="2" fillId="43" borderId="19" xfId="61" applyFont="1" applyFill="1" applyBorder="1" applyAlignment="1">
      <alignment horizontal="right" vertical="top" wrapText="1" readingOrder="1"/>
    </xf>
    <xf numFmtId="43" fontId="9" fillId="0" borderId="10" xfId="61" applyFont="1" applyFill="1" applyBorder="1" applyAlignment="1">
      <alignment vertical="top"/>
    </xf>
    <xf numFmtId="43" fontId="9" fillId="0" borderId="10" xfId="61" applyFont="1" applyFill="1" applyBorder="1" applyAlignment="1">
      <alignment vertical="top" wrapText="1" readingOrder="1"/>
    </xf>
    <xf numFmtId="43" fontId="2" fillId="0" borderId="0" xfId="61" applyFont="1" applyFill="1" applyAlignment="1">
      <alignment/>
    </xf>
    <xf numFmtId="43" fontId="94" fillId="0" borderId="0" xfId="61" applyFont="1" applyFill="1" applyAlignment="1">
      <alignment/>
    </xf>
    <xf numFmtId="187" fontId="2" fillId="0" borderId="10" xfId="0" applyNumberFormat="1" applyFont="1" applyBorder="1" applyAlignment="1">
      <alignment horizontal="right" vertical="top" wrapText="1" readingOrder="1"/>
    </xf>
    <xf numFmtId="0" fontId="9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3" fontId="2" fillId="0" borderId="31" xfId="6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23" xfId="6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3" fontId="2" fillId="0" borderId="32" xfId="61" applyFont="1" applyFill="1" applyBorder="1" applyAlignment="1">
      <alignment/>
    </xf>
    <xf numFmtId="0" fontId="94" fillId="0" borderId="14" xfId="0" applyFont="1" applyFill="1" applyBorder="1" applyAlignment="1">
      <alignment/>
    </xf>
    <xf numFmtId="0" fontId="94" fillId="0" borderId="16" xfId="0" applyFont="1" applyFill="1" applyBorder="1" applyAlignment="1">
      <alignment/>
    </xf>
    <xf numFmtId="0" fontId="94" fillId="0" borderId="15" xfId="0" applyFont="1" applyFill="1" applyBorder="1" applyAlignment="1">
      <alignment/>
    </xf>
    <xf numFmtId="0" fontId="94" fillId="0" borderId="18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3" fontId="10" fillId="0" borderId="14" xfId="61" applyFont="1" applyFill="1" applyBorder="1" applyAlignment="1">
      <alignment vertical="center" wrapText="1" readingOrder="1"/>
    </xf>
    <xf numFmtId="43" fontId="2" fillId="0" borderId="12" xfId="61" applyFont="1" applyFill="1" applyBorder="1" applyAlignment="1">
      <alignment horizontal="center" vertical="center" wrapText="1"/>
    </xf>
    <xf numFmtId="43" fontId="10" fillId="0" borderId="12" xfId="61" applyFont="1" applyFill="1" applyBorder="1" applyAlignment="1">
      <alignment vertical="center" wrapText="1" readingOrder="1"/>
    </xf>
    <xf numFmtId="0" fontId="94" fillId="0" borderId="14" xfId="0" applyFont="1" applyFill="1" applyBorder="1" applyAlignment="1">
      <alignment vertical="center"/>
    </xf>
    <xf numFmtId="0" fontId="112" fillId="0" borderId="10" xfId="0" applyFont="1" applyFill="1" applyBorder="1" applyAlignment="1">
      <alignment horizontal="center" vertical="center" wrapText="1"/>
    </xf>
    <xf numFmtId="0" fontId="95" fillId="13" borderId="11" xfId="0" applyFont="1" applyFill="1" applyBorder="1" applyAlignment="1">
      <alignment horizontal="center"/>
    </xf>
    <xf numFmtId="0" fontId="112" fillId="13" borderId="10" xfId="0" applyFont="1" applyFill="1" applyBorder="1" applyAlignment="1">
      <alignment horizontal="center" vertical="center"/>
    </xf>
    <xf numFmtId="0" fontId="112" fillId="16" borderId="10" xfId="0" applyFont="1" applyFill="1" applyBorder="1" applyAlignment="1">
      <alignment horizontal="center" vertical="center"/>
    </xf>
    <xf numFmtId="0" fontId="112" fillId="12" borderId="10" xfId="0" applyFont="1" applyFill="1" applyBorder="1" applyAlignment="1">
      <alignment horizontal="center" vertical="center"/>
    </xf>
    <xf numFmtId="0" fontId="112" fillId="11" borderId="12" xfId="0" applyFont="1" applyFill="1" applyBorder="1" applyAlignment="1">
      <alignment horizontal="center" vertical="center"/>
    </xf>
    <xf numFmtId="0" fontId="112" fillId="11" borderId="30" xfId="0" applyFont="1" applyFill="1" applyBorder="1" applyAlignment="1">
      <alignment horizontal="center" vertical="center"/>
    </xf>
    <xf numFmtId="0" fontId="112" fillId="11" borderId="18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132" fillId="0" borderId="0" xfId="0" applyFont="1" applyFill="1" applyAlignment="1">
      <alignment horizontal="center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94" fillId="0" borderId="14" xfId="0" applyFont="1" applyFill="1" applyBorder="1" applyAlignment="1">
      <alignment horizontal="center" vertical="top"/>
    </xf>
    <xf numFmtId="0" fontId="94" fillId="0" borderId="16" xfId="0" applyFont="1" applyFill="1" applyBorder="1" applyAlignment="1">
      <alignment horizontal="center" vertical="top"/>
    </xf>
    <xf numFmtId="0" fontId="94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43" fontId="2" fillId="43" borderId="24" xfId="61" applyFont="1" applyFill="1" applyBorder="1" applyAlignment="1">
      <alignment horizontal="center" vertical="top" wrapText="1" readingOrder="1"/>
    </xf>
    <xf numFmtId="43" fontId="2" fillId="43" borderId="17" xfId="61" applyFont="1" applyFill="1" applyBorder="1" applyAlignment="1">
      <alignment horizontal="center" vertical="top" wrapText="1" readingOrder="1"/>
    </xf>
    <xf numFmtId="0" fontId="94" fillId="0" borderId="18" xfId="0" applyFont="1" applyFill="1" applyBorder="1" applyAlignment="1">
      <alignment horizontal="center" vertical="top"/>
    </xf>
    <xf numFmtId="0" fontId="107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8" fillId="0" borderId="14" xfId="0" applyFont="1" applyBorder="1" applyAlignment="1">
      <alignment horizontal="left" vertical="top" wrapText="1"/>
    </xf>
    <xf numFmtId="0" fontId="98" fillId="0" borderId="16" xfId="0" applyFont="1" applyBorder="1" applyAlignment="1">
      <alignment horizontal="left" vertical="top" wrapText="1"/>
    </xf>
    <xf numFmtId="0" fontId="98" fillId="0" borderId="15" xfId="0" applyFont="1" applyBorder="1" applyAlignment="1">
      <alignment horizontal="left" vertical="top" wrapText="1"/>
    </xf>
    <xf numFmtId="0" fontId="98" fillId="0" borderId="10" xfId="0" applyFont="1" applyFill="1" applyBorder="1" applyAlignment="1">
      <alignment horizontal="left" vertical="top" wrapText="1"/>
    </xf>
    <xf numFmtId="0" fontId="98" fillId="0" borderId="14" xfId="0" applyFont="1" applyFill="1" applyBorder="1" applyAlignment="1">
      <alignment horizontal="left" vertical="top" wrapText="1"/>
    </xf>
    <xf numFmtId="0" fontId="98" fillId="0" borderId="16" xfId="0" applyFont="1" applyFill="1" applyBorder="1" applyAlignment="1">
      <alignment horizontal="left" vertical="top" wrapText="1"/>
    </xf>
    <xf numFmtId="0" fontId="98" fillId="0" borderId="15" xfId="0" applyFont="1" applyFill="1" applyBorder="1" applyAlignment="1">
      <alignment horizontal="left" vertical="top" wrapText="1"/>
    </xf>
    <xf numFmtId="0" fontId="121" fillId="0" borderId="14" xfId="0" applyFont="1" applyFill="1" applyBorder="1" applyAlignment="1">
      <alignment horizontal="center" vertical="top" textRotation="90" wrapText="1"/>
    </xf>
    <xf numFmtId="0" fontId="121" fillId="0" borderId="16" xfId="0" applyFont="1" applyFill="1" applyBorder="1" applyAlignment="1">
      <alignment horizontal="center" vertical="top" textRotation="90" wrapText="1"/>
    </xf>
    <xf numFmtId="17" fontId="9" fillId="0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8" fillId="0" borderId="14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184" fontId="9" fillId="0" borderId="14" xfId="61" applyNumberFormat="1" applyFont="1" applyFill="1" applyBorder="1" applyAlignment="1">
      <alignment horizontal="center" textRotation="90"/>
    </xf>
    <xf numFmtId="184" fontId="9" fillId="0" borderId="16" xfId="61" applyNumberFormat="1" applyFont="1" applyFill="1" applyBorder="1" applyAlignment="1">
      <alignment horizontal="center" textRotation="90"/>
    </xf>
    <xf numFmtId="184" fontId="9" fillId="0" borderId="15" xfId="61" applyNumberFormat="1" applyFont="1" applyFill="1" applyBorder="1" applyAlignment="1">
      <alignment horizontal="center" textRotation="90"/>
    </xf>
    <xf numFmtId="184" fontId="121" fillId="0" borderId="14" xfId="0" applyNumberFormat="1" applyFont="1" applyBorder="1" applyAlignment="1">
      <alignment horizontal="center" textRotation="90"/>
    </xf>
    <xf numFmtId="184" fontId="121" fillId="0" borderId="16" xfId="0" applyNumberFormat="1" applyFont="1" applyBorder="1" applyAlignment="1">
      <alignment horizontal="center" textRotation="90"/>
    </xf>
    <xf numFmtId="184" fontId="121" fillId="0" borderId="15" xfId="0" applyNumberFormat="1" applyFont="1" applyBorder="1" applyAlignment="1">
      <alignment horizontal="center" textRotation="90"/>
    </xf>
    <xf numFmtId="0" fontId="9" fillId="0" borderId="14" xfId="0" applyFont="1" applyFill="1" applyBorder="1" applyAlignment="1">
      <alignment horizontal="center" vertical="top" wrapText="1"/>
    </xf>
    <xf numFmtId="0" fontId="98" fillId="0" borderId="14" xfId="0" applyFont="1" applyFill="1" applyBorder="1" applyAlignment="1">
      <alignment horizontal="center" vertical="top" wrapText="1"/>
    </xf>
    <xf numFmtId="0" fontId="98" fillId="0" borderId="16" xfId="0" applyFont="1" applyFill="1" applyBorder="1" applyAlignment="1">
      <alignment horizontal="center" vertical="top" wrapText="1"/>
    </xf>
    <xf numFmtId="0" fontId="98" fillId="0" borderId="15" xfId="0" applyFont="1" applyFill="1" applyBorder="1" applyAlignment="1">
      <alignment horizontal="center" vertical="top" wrapText="1"/>
    </xf>
    <xf numFmtId="43" fontId="121" fillId="0" borderId="14" xfId="61" applyFont="1" applyBorder="1" applyAlignment="1">
      <alignment horizontal="center" vertical="top" textRotation="90" wrapText="1"/>
    </xf>
    <xf numFmtId="43" fontId="121" fillId="0" borderId="16" xfId="61" applyFont="1" applyBorder="1" applyAlignment="1">
      <alignment horizontal="center" vertical="top" textRotation="90" wrapText="1"/>
    </xf>
    <xf numFmtId="43" fontId="121" fillId="0" borderId="15" xfId="61" applyFont="1" applyBorder="1" applyAlignment="1">
      <alignment horizontal="center" vertical="top" textRotation="90" wrapText="1"/>
    </xf>
    <xf numFmtId="0" fontId="121" fillId="0" borderId="15" xfId="0" applyFont="1" applyFill="1" applyBorder="1" applyAlignment="1">
      <alignment horizontal="center" vertical="top" textRotation="90" wrapText="1"/>
    </xf>
    <xf numFmtId="17" fontId="9" fillId="0" borderId="14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16" fillId="0" borderId="14" xfId="0" applyFont="1" applyBorder="1" applyAlignment="1">
      <alignment horizontal="left" vertical="top" wrapText="1" readingOrder="1"/>
    </xf>
    <xf numFmtId="0" fontId="116" fillId="0" borderId="16" xfId="0" applyFont="1" applyBorder="1" applyAlignment="1">
      <alignment horizontal="left" vertical="top" wrapText="1" readingOrder="1"/>
    </xf>
    <xf numFmtId="0" fontId="116" fillId="0" borderId="15" xfId="0" applyFont="1" applyBorder="1" applyAlignment="1">
      <alignment horizontal="left" vertical="top" wrapText="1" readingOrder="1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21" fillId="0" borderId="14" xfId="0" applyFont="1" applyFill="1" applyBorder="1" applyAlignment="1">
      <alignment horizontal="center" vertical="top" wrapText="1"/>
    </xf>
    <xf numFmtId="0" fontId="121" fillId="0" borderId="16" xfId="0" applyFont="1" applyFill="1" applyBorder="1" applyAlignment="1">
      <alignment horizontal="center" vertical="top" wrapText="1"/>
    </xf>
    <xf numFmtId="0" fontId="121" fillId="0" borderId="15" xfId="0" applyFont="1" applyFill="1" applyBorder="1" applyAlignment="1">
      <alignment horizontal="center" vertical="top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0" fontId="107" fillId="20" borderId="10" xfId="0" applyFont="1" applyFill="1" applyBorder="1" applyAlignment="1">
      <alignment horizontal="center" vertical="center" wrapText="1"/>
    </xf>
    <xf numFmtId="0" fontId="121" fillId="0" borderId="14" xfId="0" applyFont="1" applyFill="1" applyBorder="1" applyAlignment="1">
      <alignment horizontal="left" vertical="top" wrapText="1"/>
    </xf>
    <xf numFmtId="0" fontId="121" fillId="0" borderId="16" xfId="0" applyFont="1" applyFill="1" applyBorder="1" applyAlignment="1">
      <alignment horizontal="left" vertical="top" wrapText="1"/>
    </xf>
    <xf numFmtId="0" fontId="121" fillId="0" borderId="15" xfId="0" applyFont="1" applyFill="1" applyBorder="1" applyAlignment="1">
      <alignment horizontal="left" vertical="top" wrapText="1"/>
    </xf>
    <xf numFmtId="0" fontId="107" fillId="0" borderId="14" xfId="0" applyFont="1" applyFill="1" applyBorder="1" applyAlignment="1">
      <alignment horizontal="center" vertical="top" wrapText="1"/>
    </xf>
    <xf numFmtId="0" fontId="107" fillId="0" borderId="16" xfId="0" applyFont="1" applyFill="1" applyBorder="1" applyAlignment="1">
      <alignment horizontal="center" vertical="top" wrapText="1"/>
    </xf>
    <xf numFmtId="0" fontId="107" fillId="0" borderId="1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107" fillId="42" borderId="10" xfId="0" applyFont="1" applyFill="1" applyBorder="1" applyAlignment="1">
      <alignment horizontal="center" vertical="center" wrapText="1"/>
    </xf>
    <xf numFmtId="184" fontId="13" fillId="0" borderId="14" xfId="61" applyNumberFormat="1" applyFont="1" applyBorder="1" applyAlignment="1">
      <alignment horizontal="center" vertical="top" textRotation="90" wrapText="1"/>
    </xf>
    <xf numFmtId="184" fontId="13" fillId="0" borderId="16" xfId="61" applyNumberFormat="1" applyFont="1" applyBorder="1" applyAlignment="1">
      <alignment horizontal="center" vertical="top" textRotation="90" wrapText="1"/>
    </xf>
    <xf numFmtId="184" fontId="13" fillId="0" borderId="15" xfId="61" applyNumberFormat="1" applyFont="1" applyBorder="1" applyAlignment="1">
      <alignment horizontal="center" vertical="top" textRotation="90" wrapText="1"/>
    </xf>
    <xf numFmtId="0" fontId="102" fillId="0" borderId="14" xfId="0" applyFont="1" applyFill="1" applyBorder="1" applyAlignment="1">
      <alignment horizontal="center" vertical="top" wrapText="1"/>
    </xf>
    <xf numFmtId="0" fontId="102" fillId="0" borderId="16" xfId="0" applyFont="1" applyFill="1" applyBorder="1" applyAlignment="1">
      <alignment horizontal="center" vertical="top" wrapText="1"/>
    </xf>
    <xf numFmtId="0" fontId="102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184" fontId="9" fillId="0" borderId="15" xfId="0" applyNumberFormat="1" applyFont="1" applyBorder="1" applyAlignment="1">
      <alignment horizontal="center"/>
    </xf>
    <xf numFmtId="0" fontId="98" fillId="0" borderId="14" xfId="0" applyFont="1" applyBorder="1" applyAlignment="1">
      <alignment horizontal="center" vertical="top" wrapText="1"/>
    </xf>
    <xf numFmtId="0" fontId="98" fillId="0" borderId="16" xfId="0" applyFont="1" applyBorder="1" applyAlignment="1">
      <alignment horizontal="center" vertical="top" wrapText="1"/>
    </xf>
    <xf numFmtId="0" fontId="98" fillId="0" borderId="15" xfId="0" applyFont="1" applyBorder="1" applyAlignment="1">
      <alignment horizontal="center" vertical="top" wrapText="1"/>
    </xf>
    <xf numFmtId="0" fontId="98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top" textRotation="90" wrapText="1"/>
    </xf>
    <xf numFmtId="0" fontId="9" fillId="0" borderId="16" xfId="0" applyFont="1" applyFill="1" applyBorder="1" applyAlignment="1">
      <alignment horizontal="center" vertical="top" textRotation="90" wrapText="1"/>
    </xf>
    <xf numFmtId="0" fontId="9" fillId="0" borderId="15" xfId="0" applyFont="1" applyFill="1" applyBorder="1" applyAlignment="1">
      <alignment horizontal="center" vertical="top" textRotation="90" wrapText="1"/>
    </xf>
    <xf numFmtId="43" fontId="13" fillId="0" borderId="14" xfId="61" applyFont="1" applyBorder="1" applyAlignment="1">
      <alignment horizontal="center" vertical="top" textRotation="90" wrapText="1"/>
    </xf>
    <xf numFmtId="43" fontId="13" fillId="0" borderId="16" xfId="61" applyFont="1" applyBorder="1" applyAlignment="1">
      <alignment horizontal="center" vertical="top" textRotation="90" wrapText="1"/>
    </xf>
    <xf numFmtId="0" fontId="98" fillId="20" borderId="10" xfId="0" applyFont="1" applyFill="1" applyBorder="1" applyAlignment="1">
      <alignment horizontal="center" vertical="center" wrapText="1"/>
    </xf>
    <xf numFmtId="0" fontId="112" fillId="2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2" fillId="20" borderId="14" xfId="0" applyFont="1" applyFill="1" applyBorder="1" applyAlignment="1">
      <alignment horizontal="center" vertical="center" wrapText="1"/>
    </xf>
    <xf numFmtId="0" fontId="112" fillId="20" borderId="16" xfId="0" applyFont="1" applyFill="1" applyBorder="1" applyAlignment="1">
      <alignment horizontal="center" vertical="center" wrapText="1"/>
    </xf>
    <xf numFmtId="0" fontId="112" fillId="20" borderId="15" xfId="0" applyFont="1" applyFill="1" applyBorder="1" applyAlignment="1">
      <alignment horizontal="center" vertical="center" wrapText="1"/>
    </xf>
    <xf numFmtId="0" fontId="99" fillId="20" borderId="14" xfId="0" applyFont="1" applyFill="1" applyBorder="1" applyAlignment="1">
      <alignment horizontal="center" vertical="center" wrapText="1"/>
    </xf>
    <xf numFmtId="0" fontId="99" fillId="20" borderId="16" xfId="0" applyFont="1" applyFill="1" applyBorder="1" applyAlignment="1">
      <alignment horizontal="center" vertical="center" wrapText="1"/>
    </xf>
    <xf numFmtId="0" fontId="99" fillId="20" borderId="15" xfId="0" applyFont="1" applyFill="1" applyBorder="1" applyAlignment="1">
      <alignment horizontal="center" vertical="center" wrapText="1"/>
    </xf>
    <xf numFmtId="184" fontId="121" fillId="0" borderId="14" xfId="61" applyNumberFormat="1" applyFont="1" applyBorder="1" applyAlignment="1">
      <alignment horizontal="center" vertical="top" textRotation="90" wrapText="1"/>
    </xf>
    <xf numFmtId="184" fontId="121" fillId="0" borderId="15" xfId="61" applyNumberFormat="1" applyFont="1" applyBorder="1" applyAlignment="1">
      <alignment horizontal="center" vertical="top" textRotation="90" wrapText="1"/>
    </xf>
    <xf numFmtId="0" fontId="122" fillId="0" borderId="14" xfId="0" applyFont="1" applyFill="1" applyBorder="1" applyAlignment="1">
      <alignment horizontal="center" vertical="top" textRotation="90" wrapText="1"/>
    </xf>
    <xf numFmtId="0" fontId="122" fillId="0" borderId="15" xfId="0" applyFont="1" applyFill="1" applyBorder="1" applyAlignment="1">
      <alignment horizontal="center" vertical="top" textRotation="90" wrapText="1"/>
    </xf>
    <xf numFmtId="184" fontId="122" fillId="0" borderId="14" xfId="61" applyNumberFormat="1" applyFont="1" applyBorder="1" applyAlignment="1">
      <alignment horizontal="center" vertical="top" textRotation="90" wrapText="1"/>
    </xf>
    <xf numFmtId="184" fontId="122" fillId="0" borderId="15" xfId="61" applyNumberFormat="1" applyFont="1" applyBorder="1" applyAlignment="1">
      <alignment horizontal="center" vertical="top" textRotation="90" wrapText="1"/>
    </xf>
    <xf numFmtId="0" fontId="107" fillId="20" borderId="14" xfId="0" applyFont="1" applyFill="1" applyBorder="1" applyAlignment="1">
      <alignment horizontal="center" vertical="center" wrapText="1"/>
    </xf>
    <xf numFmtId="0" fontId="107" fillId="20" borderId="15" xfId="0" applyFont="1" applyFill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20" borderId="16" xfId="0" applyFont="1" applyFill="1" applyBorder="1" applyAlignment="1">
      <alignment horizontal="center" vertical="center" wrapText="1"/>
    </xf>
    <xf numFmtId="43" fontId="9" fillId="0" borderId="14" xfId="61" applyFont="1" applyBorder="1" applyAlignment="1">
      <alignment horizontal="center" vertical="top" textRotation="90" wrapText="1"/>
    </xf>
    <xf numFmtId="43" fontId="9" fillId="0" borderId="16" xfId="61" applyFont="1" applyBorder="1" applyAlignment="1">
      <alignment horizontal="center" vertical="top" textRotation="90" wrapText="1"/>
    </xf>
    <xf numFmtId="0" fontId="73" fillId="0" borderId="15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16" fillId="0" borderId="14" xfId="0" applyFont="1" applyBorder="1" applyAlignment="1">
      <alignment vertical="top" wrapText="1" readingOrder="1"/>
    </xf>
    <xf numFmtId="0" fontId="104" fillId="0" borderId="16" xfId="0" applyFont="1" applyBorder="1" applyAlignment="1">
      <alignment vertical="top" wrapText="1"/>
    </xf>
    <xf numFmtId="0" fontId="104" fillId="0" borderId="15" xfId="0" applyFont="1" applyBorder="1" applyAlignment="1">
      <alignment vertical="top" wrapText="1"/>
    </xf>
    <xf numFmtId="3" fontId="116" fillId="33" borderId="14" xfId="61" applyNumberFormat="1" applyFont="1" applyFill="1" applyBorder="1" applyAlignment="1">
      <alignment vertical="top" wrapText="1" readingOrder="1"/>
    </xf>
    <xf numFmtId="0" fontId="104" fillId="0" borderId="16" xfId="0" applyFont="1" applyBorder="1" applyAlignment="1">
      <alignment vertical="top" wrapText="1" readingOrder="1"/>
    </xf>
    <xf numFmtId="0" fontId="104" fillId="0" borderId="15" xfId="0" applyFont="1" applyBorder="1" applyAlignment="1">
      <alignment vertical="top" wrapText="1" readingOrder="1"/>
    </xf>
    <xf numFmtId="0" fontId="104" fillId="0" borderId="15" xfId="0" applyFont="1" applyBorder="1" applyAlignment="1">
      <alignment horizontal="center" vertical="top" wrapText="1"/>
    </xf>
    <xf numFmtId="0" fontId="104" fillId="0" borderId="16" xfId="0" applyFont="1" applyBorder="1" applyAlignment="1">
      <alignment horizontal="center" vertical="top" wrapText="1"/>
    </xf>
    <xf numFmtId="0" fontId="104" fillId="0" borderId="15" xfId="0" applyFont="1" applyBorder="1" applyAlignment="1">
      <alignment wrapText="1"/>
    </xf>
    <xf numFmtId="0" fontId="98" fillId="0" borderId="16" xfId="0" applyFont="1" applyBorder="1" applyAlignment="1">
      <alignment vertical="top" wrapText="1"/>
    </xf>
    <xf numFmtId="0" fontId="98" fillId="0" borderId="15" xfId="0" applyFont="1" applyBorder="1" applyAlignment="1">
      <alignment vertical="top" wrapText="1"/>
    </xf>
    <xf numFmtId="43" fontId="9" fillId="0" borderId="15" xfId="61" applyFont="1" applyBorder="1" applyAlignment="1">
      <alignment horizontal="center" vertical="top" textRotation="90" wrapText="1"/>
    </xf>
    <xf numFmtId="0" fontId="9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center" wrapText="1" readingOrder="1"/>
    </xf>
    <xf numFmtId="184" fontId="9" fillId="0" borderId="10" xfId="61" applyNumberFormat="1" applyFont="1" applyFill="1" applyBorder="1" applyAlignment="1">
      <alignment horizontal="center" vertical="top" textRotation="90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top" wrapText="1" readingOrder="1"/>
    </xf>
    <xf numFmtId="49" fontId="11" fillId="0" borderId="10" xfId="0" applyNumberFormat="1" applyFont="1" applyFill="1" applyBorder="1" applyAlignment="1">
      <alignment horizontal="left" vertical="top" wrapText="1"/>
    </xf>
    <xf numFmtId="184" fontId="9" fillId="0" borderId="10" xfId="61" applyNumberFormat="1" applyFont="1" applyFill="1" applyBorder="1" applyAlignment="1">
      <alignment horizontal="center" vertical="top" wrapText="1"/>
    </xf>
    <xf numFmtId="184" fontId="9" fillId="0" borderId="10" xfId="61" applyNumberFormat="1" applyFont="1" applyFill="1" applyBorder="1" applyAlignment="1">
      <alignment horizontal="center" vertical="center" textRotation="90"/>
    </xf>
    <xf numFmtId="184" fontId="11" fillId="36" borderId="10" xfId="61" applyNumberFormat="1" applyFont="1" applyFill="1" applyBorder="1" applyAlignment="1">
      <alignment horizontal="center" vertical="center"/>
    </xf>
    <xf numFmtId="184" fontId="9" fillId="36" borderId="10" xfId="61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4" fontId="11" fillId="36" borderId="10" xfId="61" applyNumberFormat="1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left" vertical="top" wrapText="1" indent="1"/>
    </xf>
    <xf numFmtId="0" fontId="105" fillId="0" borderId="15" xfId="0" applyFont="1" applyFill="1" applyBorder="1" applyAlignment="1">
      <alignment horizontal="left" vertical="top" wrapText="1" inden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05" fillId="0" borderId="14" xfId="0" applyFont="1" applyFill="1" applyBorder="1" applyAlignment="1">
      <alignment horizontal="left" vertical="top" wrapText="1"/>
    </xf>
    <xf numFmtId="0" fontId="105" fillId="0" borderId="15" xfId="0" applyFont="1" applyFill="1" applyBorder="1" applyAlignment="1">
      <alignment horizontal="left" vertical="top" wrapText="1"/>
    </xf>
    <xf numFmtId="0" fontId="105" fillId="0" borderId="14" xfId="69" applyFont="1" applyFill="1" applyBorder="1" applyAlignment="1">
      <alignment horizontal="left" vertical="top" wrapText="1"/>
      <protection/>
    </xf>
    <xf numFmtId="0" fontId="105" fillId="0" borderId="15" xfId="69" applyFont="1" applyFill="1" applyBorder="1" applyAlignment="1">
      <alignment horizontal="left" vertical="top" wrapText="1"/>
      <protection/>
    </xf>
    <xf numFmtId="17" fontId="105" fillId="0" borderId="14" xfId="0" applyNumberFormat="1" applyFont="1" applyFill="1" applyBorder="1" applyAlignment="1">
      <alignment horizontal="center" vertical="center" textRotation="90" wrapText="1"/>
    </xf>
    <xf numFmtId="17" fontId="105" fillId="0" borderId="15" xfId="0" applyNumberFormat="1" applyFont="1" applyFill="1" applyBorder="1" applyAlignment="1">
      <alignment horizontal="center" vertical="center" textRotation="90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17" fontId="105" fillId="0" borderId="16" xfId="0" applyNumberFormat="1" applyFont="1" applyFill="1" applyBorder="1" applyAlignment="1">
      <alignment horizontal="center" vertical="center" textRotation="90" wrapText="1"/>
    </xf>
    <xf numFmtId="0" fontId="105" fillId="0" borderId="16" xfId="0" applyFont="1" applyFill="1" applyBorder="1" applyAlignment="1">
      <alignment horizontal="left" vertical="top" wrapText="1" indent="1"/>
    </xf>
    <xf numFmtId="0" fontId="17" fillId="0" borderId="16" xfId="0" applyFont="1" applyFill="1" applyBorder="1" applyAlignment="1">
      <alignment horizontal="left" vertical="top" wrapText="1"/>
    </xf>
    <xf numFmtId="0" fontId="105" fillId="0" borderId="16" xfId="0" applyFont="1" applyFill="1" applyBorder="1" applyAlignment="1">
      <alignment horizontal="left" vertical="top" wrapText="1"/>
    </xf>
    <xf numFmtId="0" fontId="105" fillId="0" borderId="14" xfId="69" applyFont="1" applyFill="1" applyBorder="1" applyAlignment="1">
      <alignment horizontal="center" vertical="top" wrapText="1"/>
      <protection/>
    </xf>
    <xf numFmtId="0" fontId="105" fillId="0" borderId="16" xfId="69" applyFont="1" applyFill="1" applyBorder="1" applyAlignment="1">
      <alignment horizontal="center" vertical="top" wrapText="1"/>
      <protection/>
    </xf>
    <xf numFmtId="0" fontId="105" fillId="0" borderId="15" xfId="69" applyFont="1" applyFill="1" applyBorder="1" applyAlignment="1">
      <alignment horizontal="center" vertical="top" wrapText="1"/>
      <protection/>
    </xf>
    <xf numFmtId="0" fontId="105" fillId="0" borderId="14" xfId="0" applyFont="1" applyFill="1" applyBorder="1" applyAlignment="1">
      <alignment horizontal="center" vertical="center" textRotation="90"/>
    </xf>
    <xf numFmtId="0" fontId="105" fillId="0" borderId="16" xfId="0" applyFont="1" applyFill="1" applyBorder="1" applyAlignment="1">
      <alignment horizontal="center" vertical="center" textRotation="90"/>
    </xf>
    <xf numFmtId="0" fontId="105" fillId="0" borderId="15" xfId="0" applyFont="1" applyFill="1" applyBorder="1" applyAlignment="1">
      <alignment horizontal="center" vertical="center" textRotation="90"/>
    </xf>
    <xf numFmtId="3" fontId="105" fillId="0" borderId="14" xfId="0" applyNumberFormat="1" applyFont="1" applyFill="1" applyBorder="1" applyAlignment="1">
      <alignment horizontal="center" vertical="center" textRotation="90"/>
    </xf>
    <xf numFmtId="0" fontId="105" fillId="0" borderId="16" xfId="69" applyFont="1" applyFill="1" applyBorder="1" applyAlignment="1">
      <alignment horizontal="left" vertical="top" wrapText="1"/>
      <protection/>
    </xf>
    <xf numFmtId="3" fontId="105" fillId="0" borderId="14" xfId="0" applyNumberFormat="1" applyFont="1" applyBorder="1" applyAlignment="1">
      <alignment horizontal="center" vertical="center" textRotation="90"/>
    </xf>
    <xf numFmtId="0" fontId="105" fillId="0" borderId="16" xfId="0" applyFont="1" applyBorder="1" applyAlignment="1">
      <alignment horizontal="center" vertical="center" textRotation="90"/>
    </xf>
    <xf numFmtId="0" fontId="105" fillId="0" borderId="15" xfId="0" applyFont="1" applyBorder="1" applyAlignment="1">
      <alignment horizontal="center" vertical="center" textRotation="90"/>
    </xf>
    <xf numFmtId="43" fontId="17" fillId="0" borderId="14" xfId="61" applyFont="1" applyBorder="1" applyAlignment="1">
      <alignment horizontal="center" vertical="top" textRotation="90" wrapText="1"/>
    </xf>
    <xf numFmtId="43" fontId="17" fillId="0" borderId="16" xfId="61" applyFont="1" applyBorder="1" applyAlignment="1">
      <alignment horizontal="center" vertical="top" textRotation="90" wrapText="1"/>
    </xf>
    <xf numFmtId="3" fontId="17" fillId="0" borderId="14" xfId="61" applyNumberFormat="1" applyFont="1" applyBorder="1" applyAlignment="1">
      <alignment horizontal="center" vertical="top" textRotation="90" wrapText="1"/>
    </xf>
    <xf numFmtId="0" fontId="17" fillId="0" borderId="16" xfId="61" applyNumberFormat="1" applyFont="1" applyBorder="1" applyAlignment="1">
      <alignment horizontal="center" vertical="top" textRotation="90" wrapText="1"/>
    </xf>
    <xf numFmtId="43" fontId="126" fillId="0" borderId="14" xfId="61" applyFont="1" applyBorder="1" applyAlignment="1">
      <alignment horizontal="center" vertical="top" textRotation="90" wrapText="1"/>
    </xf>
    <xf numFmtId="43" fontId="126" fillId="0" borderId="16" xfId="61" applyFont="1" applyBorder="1" applyAlignment="1">
      <alignment horizontal="center" vertical="top" textRotation="90" wrapText="1"/>
    </xf>
    <xf numFmtId="0" fontId="105" fillId="0" borderId="14" xfId="0" applyFont="1" applyBorder="1" applyAlignment="1">
      <alignment horizontal="center" vertical="center" textRotation="90"/>
    </xf>
    <xf numFmtId="0" fontId="105" fillId="0" borderId="14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7" fillId="35" borderId="12" xfId="0" applyFont="1" applyFill="1" applyBorder="1" applyAlignment="1">
      <alignment horizontal="left" vertical="top"/>
    </xf>
    <xf numFmtId="0" fontId="107" fillId="35" borderId="30" xfId="0" applyFont="1" applyFill="1" applyBorder="1" applyAlignment="1">
      <alignment horizontal="left" vertical="top"/>
    </xf>
    <xf numFmtId="0" fontId="107" fillId="35" borderId="18" xfId="0" applyFont="1" applyFill="1" applyBorder="1" applyAlignment="1">
      <alignment horizontal="left" vertical="top"/>
    </xf>
    <xf numFmtId="0" fontId="105" fillId="0" borderId="14" xfId="0" applyFont="1" applyBorder="1" applyAlignment="1">
      <alignment horizontal="center" vertical="top" wrapText="1"/>
    </xf>
    <xf numFmtId="0" fontId="105" fillId="0" borderId="16" xfId="0" applyFont="1" applyBorder="1" applyAlignment="1">
      <alignment horizontal="center" vertical="top" wrapText="1"/>
    </xf>
    <xf numFmtId="0" fontId="105" fillId="0" borderId="15" xfId="0" applyFont="1" applyBorder="1" applyAlignment="1">
      <alignment horizontal="center" vertical="top" wrapText="1"/>
    </xf>
    <xf numFmtId="15" fontId="105" fillId="0" borderId="14" xfId="0" applyNumberFormat="1" applyFont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17" fillId="0" borderId="16" xfId="0" applyFont="1" applyFill="1" applyBorder="1" applyAlignment="1">
      <alignment horizontal="center" vertical="top" textRotation="90" wrapText="1"/>
    </xf>
    <xf numFmtId="0" fontId="17" fillId="0" borderId="15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05" fillId="35" borderId="12" xfId="0" applyFont="1" applyFill="1" applyBorder="1" applyAlignment="1">
      <alignment horizontal="left" vertical="top"/>
    </xf>
    <xf numFmtId="0" fontId="105" fillId="35" borderId="30" xfId="0" applyFont="1" applyFill="1" applyBorder="1" applyAlignment="1">
      <alignment horizontal="left" vertical="top"/>
    </xf>
    <xf numFmtId="0" fontId="105" fillId="35" borderId="18" xfId="0" applyFont="1" applyFill="1" applyBorder="1" applyAlignment="1">
      <alignment horizontal="left" vertical="top"/>
    </xf>
    <xf numFmtId="0" fontId="106" fillId="0" borderId="14" xfId="0" applyFont="1" applyBorder="1" applyAlignment="1">
      <alignment horizontal="left" vertical="top" wrapText="1" indent="1" readingOrder="1"/>
    </xf>
    <xf numFmtId="0" fontId="106" fillId="0" borderId="16" xfId="0" applyFont="1" applyBorder="1" applyAlignment="1">
      <alignment horizontal="left" vertical="top" wrapText="1" indent="1" readingOrder="1"/>
    </xf>
    <xf numFmtId="0" fontId="105" fillId="0" borderId="14" xfId="0" applyFont="1" applyBorder="1" applyAlignment="1">
      <alignment horizontal="left" vertical="top" wrapText="1"/>
    </xf>
    <xf numFmtId="0" fontId="105" fillId="0" borderId="16" xfId="0" applyFont="1" applyBorder="1" applyAlignment="1">
      <alignment horizontal="left" vertical="top" wrapText="1"/>
    </xf>
    <xf numFmtId="0" fontId="105" fillId="0" borderId="15" xfId="0" applyFont="1" applyBorder="1" applyAlignment="1">
      <alignment horizontal="left" vertical="top" wrapText="1"/>
    </xf>
    <xf numFmtId="0" fontId="106" fillId="0" borderId="15" xfId="0" applyFont="1" applyBorder="1" applyAlignment="1">
      <alignment horizontal="left" vertical="top" wrapText="1" indent="1" readingOrder="1"/>
    </xf>
    <xf numFmtId="0" fontId="105" fillId="0" borderId="14" xfId="0" applyFont="1" applyFill="1" applyBorder="1" applyAlignment="1">
      <alignment horizontal="center" vertical="top" wrapText="1"/>
    </xf>
    <xf numFmtId="0" fontId="105" fillId="0" borderId="16" xfId="0" applyFont="1" applyFill="1" applyBorder="1" applyAlignment="1">
      <alignment horizontal="center" vertical="top" wrapText="1"/>
    </xf>
    <xf numFmtId="0" fontId="105" fillId="0" borderId="15" xfId="0" applyFont="1" applyFill="1" applyBorder="1" applyAlignment="1">
      <alignment horizontal="center" vertical="top" wrapText="1"/>
    </xf>
    <xf numFmtId="0" fontId="105" fillId="35" borderId="12" xfId="0" applyFont="1" applyFill="1" applyBorder="1" applyAlignment="1">
      <alignment horizontal="left" vertical="top" wrapText="1"/>
    </xf>
    <xf numFmtId="0" fontId="105" fillId="35" borderId="30" xfId="0" applyFont="1" applyFill="1" applyBorder="1" applyAlignment="1">
      <alignment horizontal="left" vertical="top" wrapText="1"/>
    </xf>
    <xf numFmtId="0" fontId="105" fillId="35" borderId="18" xfId="0" applyFont="1" applyFill="1" applyBorder="1" applyAlignment="1">
      <alignment horizontal="left" vertical="top" wrapText="1"/>
    </xf>
    <xf numFmtId="0" fontId="107" fillId="35" borderId="12" xfId="0" applyFont="1" applyFill="1" applyBorder="1" applyAlignment="1">
      <alignment horizontal="left" vertical="top" wrapText="1"/>
    </xf>
    <xf numFmtId="0" fontId="107" fillId="35" borderId="30" xfId="0" applyFont="1" applyFill="1" applyBorder="1" applyAlignment="1">
      <alignment horizontal="left" vertical="top" wrapText="1"/>
    </xf>
    <xf numFmtId="0" fontId="107" fillId="35" borderId="18" xfId="0" applyFont="1" applyFill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 indent="1"/>
    </xf>
    <xf numFmtId="0" fontId="17" fillId="33" borderId="16" xfId="0" applyFont="1" applyFill="1" applyBorder="1" applyAlignment="1">
      <alignment horizontal="left" vertical="top" wrapText="1" indent="1"/>
    </xf>
    <xf numFmtId="0" fontId="17" fillId="33" borderId="15" xfId="0" applyFont="1" applyFill="1" applyBorder="1" applyAlignment="1">
      <alignment horizontal="left" vertical="top" wrapText="1" indent="1"/>
    </xf>
    <xf numFmtId="0" fontId="105" fillId="33" borderId="14" xfId="0" applyFont="1" applyFill="1" applyBorder="1" applyAlignment="1">
      <alignment horizontal="left" vertical="top" wrapText="1"/>
    </xf>
    <xf numFmtId="0" fontId="105" fillId="33" borderId="16" xfId="0" applyFont="1" applyFill="1" applyBorder="1" applyAlignment="1">
      <alignment horizontal="left" vertical="top" wrapText="1"/>
    </xf>
    <xf numFmtId="0" fontId="105" fillId="33" borderId="15" xfId="0" applyFont="1" applyFill="1" applyBorder="1" applyAlignment="1">
      <alignment horizontal="left" vertical="top" wrapText="1"/>
    </xf>
    <xf numFmtId="0" fontId="105" fillId="33" borderId="14" xfId="0" applyFont="1" applyFill="1" applyBorder="1" applyAlignment="1">
      <alignment horizontal="center" vertical="top" wrapText="1"/>
    </xf>
    <xf numFmtId="0" fontId="105" fillId="33" borderId="16" xfId="0" applyFont="1" applyFill="1" applyBorder="1" applyAlignment="1">
      <alignment horizontal="center" vertical="top" wrapText="1"/>
    </xf>
    <xf numFmtId="0" fontId="105" fillId="33" borderId="15" xfId="0" applyFont="1" applyFill="1" applyBorder="1" applyAlignment="1">
      <alignment horizontal="center" vertical="top" wrapText="1"/>
    </xf>
    <xf numFmtId="0" fontId="105" fillId="0" borderId="15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left" vertical="top" wrapText="1"/>
    </xf>
    <xf numFmtId="0" fontId="16" fillId="35" borderId="30" xfId="0" applyFont="1" applyFill="1" applyBorder="1" applyAlignment="1">
      <alignment horizontal="left" vertical="top" wrapText="1"/>
    </xf>
    <xf numFmtId="0" fontId="16" fillId="35" borderId="18" xfId="0" applyFont="1" applyFill="1" applyBorder="1" applyAlignment="1">
      <alignment horizontal="left" vertical="top" wrapText="1"/>
    </xf>
    <xf numFmtId="0" fontId="107" fillId="35" borderId="12" xfId="0" applyFont="1" applyFill="1" applyBorder="1" applyAlignment="1">
      <alignment horizontal="left" vertical="center" wrapText="1"/>
    </xf>
    <xf numFmtId="0" fontId="107" fillId="35" borderId="30" xfId="0" applyFont="1" applyFill="1" applyBorder="1" applyAlignment="1">
      <alignment horizontal="left" vertical="center" wrapText="1"/>
    </xf>
    <xf numFmtId="0" fontId="107" fillId="35" borderId="18" xfId="0" applyFont="1" applyFill="1" applyBorder="1" applyAlignment="1">
      <alignment horizontal="left" vertical="center" wrapText="1"/>
    </xf>
    <xf numFmtId="0" fontId="105" fillId="36" borderId="12" xfId="0" applyFont="1" applyFill="1" applyBorder="1" applyAlignment="1">
      <alignment horizontal="left" vertical="top" wrapText="1"/>
    </xf>
    <xf numFmtId="0" fontId="105" fillId="36" borderId="30" xfId="0" applyFont="1" applyFill="1" applyBorder="1" applyAlignment="1">
      <alignment horizontal="left" vertical="top" wrapText="1"/>
    </xf>
    <xf numFmtId="0" fontId="105" fillId="36" borderId="18" xfId="0" applyFont="1" applyFill="1" applyBorder="1" applyAlignment="1">
      <alignment horizontal="left" vertical="top" wrapText="1"/>
    </xf>
    <xf numFmtId="3" fontId="105" fillId="0" borderId="16" xfId="0" applyNumberFormat="1" applyFont="1" applyBorder="1" applyAlignment="1">
      <alignment horizontal="center" vertical="center" textRotation="90"/>
    </xf>
    <xf numFmtId="3" fontId="105" fillId="0" borderId="15" xfId="0" applyNumberFormat="1" applyFont="1" applyBorder="1" applyAlignment="1">
      <alignment horizontal="center" vertical="center" textRotation="90"/>
    </xf>
    <xf numFmtId="0" fontId="105" fillId="0" borderId="14" xfId="0" applyFont="1" applyBorder="1" applyAlignment="1">
      <alignment horizontal="center" vertical="center" textRotation="90" wrapText="1"/>
    </xf>
    <xf numFmtId="0" fontId="105" fillId="0" borderId="16" xfId="0" applyFont="1" applyBorder="1" applyAlignment="1">
      <alignment horizontal="center" vertical="center" textRotation="90" wrapText="1"/>
    </xf>
    <xf numFmtId="0" fontId="105" fillId="0" borderId="15" xfId="0" applyFont="1" applyBorder="1" applyAlignment="1">
      <alignment horizontal="center" vertical="center" textRotation="90" wrapText="1"/>
    </xf>
    <xf numFmtId="0" fontId="105" fillId="0" borderId="10" xfId="0" applyFont="1" applyBorder="1" applyAlignment="1">
      <alignment horizontal="left" vertical="top" wrapText="1" indent="1"/>
    </xf>
    <xf numFmtId="0" fontId="105" fillId="0" borderId="10" xfId="0" applyFont="1" applyBorder="1" applyAlignment="1">
      <alignment horizontal="left" vertical="top" wrapText="1"/>
    </xf>
    <xf numFmtId="0" fontId="105" fillId="0" borderId="15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textRotation="90"/>
    </xf>
    <xf numFmtId="184" fontId="105" fillId="0" borderId="10" xfId="0" applyNumberFormat="1" applyFont="1" applyBorder="1" applyAlignment="1">
      <alignment horizontal="center" vertical="center" textRotation="90"/>
    </xf>
    <xf numFmtId="17" fontId="105" fillId="0" borderId="10" xfId="0" applyNumberFormat="1" applyFont="1" applyBorder="1" applyAlignment="1">
      <alignment horizontal="center" vertical="center" textRotation="90" wrapText="1"/>
    </xf>
    <xf numFmtId="0" fontId="105" fillId="0" borderId="10" xfId="0" applyFont="1" applyBorder="1" applyAlignment="1">
      <alignment horizontal="center" vertical="top" textRotation="90"/>
    </xf>
    <xf numFmtId="184" fontId="105" fillId="0" borderId="10" xfId="0" applyNumberFormat="1" applyFont="1" applyBorder="1" applyAlignment="1">
      <alignment horizontal="center" vertical="top" textRotation="90"/>
    </xf>
    <xf numFmtId="0" fontId="17" fillId="0" borderId="10" xfId="0" applyFont="1" applyBorder="1" applyAlignment="1">
      <alignment horizontal="left" vertical="top" wrapText="1" inden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30" xfId="0" applyFont="1" applyFill="1" applyBorder="1" applyAlignment="1">
      <alignment horizontal="left" vertical="top" wrapText="1"/>
    </xf>
    <xf numFmtId="0" fontId="17" fillId="35" borderId="18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43" fontId="17" fillId="0" borderId="15" xfId="61" applyFont="1" applyBorder="1" applyAlignment="1">
      <alignment horizontal="center" vertical="top" textRotation="90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5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43" fontId="17" fillId="0" borderId="10" xfId="61" applyFont="1" applyBorder="1" applyAlignment="1">
      <alignment horizontal="center" vertical="top" textRotation="90" wrapText="1"/>
    </xf>
    <xf numFmtId="0" fontId="17" fillId="0" borderId="10" xfId="0" applyFont="1" applyBorder="1" applyAlignment="1">
      <alignment horizontal="left" vertical="top" wrapText="1" readingOrder="1"/>
    </xf>
    <xf numFmtId="0" fontId="17" fillId="0" borderId="10" xfId="0" applyFont="1" applyFill="1" applyBorder="1" applyAlignment="1">
      <alignment horizontal="center" vertical="top" textRotation="90" wrapText="1"/>
    </xf>
    <xf numFmtId="0" fontId="105" fillId="0" borderId="14" xfId="0" applyFont="1" applyBorder="1" applyAlignment="1">
      <alignment horizontal="center" vertical="top" textRotation="90" wrapText="1"/>
    </xf>
    <xf numFmtId="0" fontId="105" fillId="0" borderId="16" xfId="0" applyFont="1" applyBorder="1" applyAlignment="1">
      <alignment horizontal="center" vertical="top" textRotation="90" wrapText="1"/>
    </xf>
    <xf numFmtId="0" fontId="105" fillId="0" borderId="15" xfId="0" applyFont="1" applyBorder="1" applyAlignment="1">
      <alignment horizontal="center" vertical="top" textRotation="90" wrapText="1"/>
    </xf>
    <xf numFmtId="0" fontId="107" fillId="0" borderId="12" xfId="0" applyFont="1" applyBorder="1" applyAlignment="1">
      <alignment horizontal="center" vertical="center"/>
    </xf>
    <xf numFmtId="0" fontId="107" fillId="0" borderId="30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top" textRotation="90"/>
    </xf>
    <xf numFmtId="0" fontId="105" fillId="0" borderId="16" xfId="0" applyFont="1" applyBorder="1" applyAlignment="1">
      <alignment horizontal="center" vertical="top" textRotation="90"/>
    </xf>
    <xf numFmtId="0" fontId="105" fillId="0" borderId="15" xfId="0" applyFont="1" applyBorder="1" applyAlignment="1">
      <alignment horizontal="center" vertical="top" textRotation="90"/>
    </xf>
    <xf numFmtId="17" fontId="105" fillId="0" borderId="14" xfId="0" applyNumberFormat="1" applyFont="1" applyBorder="1" applyAlignment="1">
      <alignment horizontal="center" vertical="top" textRotation="90" wrapText="1"/>
    </xf>
    <xf numFmtId="15" fontId="17" fillId="0" borderId="14" xfId="0" applyNumberFormat="1" applyFont="1" applyFill="1" applyBorder="1" applyAlignment="1">
      <alignment horizontal="center" vertical="top" wrapText="1"/>
    </xf>
    <xf numFmtId="0" fontId="10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top" wrapText="1" readingOrder="1"/>
    </xf>
    <xf numFmtId="0" fontId="17" fillId="0" borderId="16" xfId="0" applyFont="1" applyBorder="1" applyAlignment="1">
      <alignment horizontal="left" vertical="top" wrapText="1" readingOrder="1"/>
    </xf>
    <xf numFmtId="0" fontId="17" fillId="0" borderId="15" xfId="0" applyFont="1" applyBorder="1" applyAlignment="1">
      <alignment horizontal="left" vertical="top" wrapText="1" readingOrder="1"/>
    </xf>
    <xf numFmtId="0" fontId="17" fillId="0" borderId="14" xfId="0" applyFont="1" applyFill="1" applyBorder="1" applyAlignment="1">
      <alignment horizontal="center" vertical="top" textRotation="90"/>
    </xf>
    <xf numFmtId="0" fontId="17" fillId="0" borderId="16" xfId="0" applyFont="1" applyFill="1" applyBorder="1" applyAlignment="1">
      <alignment horizontal="center" vertical="top" textRotation="90"/>
    </xf>
    <xf numFmtId="0" fontId="17" fillId="0" borderId="15" xfId="0" applyFont="1" applyFill="1" applyBorder="1" applyAlignment="1">
      <alignment horizontal="center" vertical="top" textRotation="90"/>
    </xf>
    <xf numFmtId="0" fontId="16" fillId="20" borderId="10" xfId="0" applyFont="1" applyFill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12" fillId="20" borderId="12" xfId="0" applyFont="1" applyFill="1" applyBorder="1" applyAlignment="1">
      <alignment horizontal="left" vertical="center" wrapText="1"/>
    </xf>
    <xf numFmtId="0" fontId="112" fillId="20" borderId="30" xfId="0" applyFont="1" applyFill="1" applyBorder="1" applyAlignment="1">
      <alignment horizontal="left" vertical="center" wrapText="1"/>
    </xf>
    <xf numFmtId="0" fontId="112" fillId="20" borderId="18" xfId="0" applyFont="1" applyFill="1" applyBorder="1" applyAlignment="1">
      <alignment horizontal="left" vertical="center" wrapText="1"/>
    </xf>
    <xf numFmtId="0" fontId="112" fillId="0" borderId="12" xfId="0" applyFont="1" applyBorder="1" applyAlignment="1">
      <alignment horizontal="left" vertical="top" wrapText="1"/>
    </xf>
    <xf numFmtId="0" fontId="112" fillId="0" borderId="30" xfId="0" applyFont="1" applyBorder="1" applyAlignment="1">
      <alignment horizontal="left" vertical="top" wrapText="1"/>
    </xf>
    <xf numFmtId="0" fontId="112" fillId="0" borderId="18" xfId="0" applyFont="1" applyBorder="1" applyAlignment="1">
      <alignment horizontal="left" vertical="top" wrapText="1"/>
    </xf>
    <xf numFmtId="0" fontId="98" fillId="34" borderId="14" xfId="0" applyFont="1" applyFill="1" applyBorder="1" applyAlignment="1">
      <alignment horizontal="center"/>
    </xf>
    <xf numFmtId="0" fontId="98" fillId="34" borderId="15" xfId="0" applyFont="1" applyFill="1" applyBorder="1" applyAlignment="1">
      <alignment horizontal="center"/>
    </xf>
    <xf numFmtId="0" fontId="98" fillId="34" borderId="14" xfId="0" applyFont="1" applyFill="1" applyBorder="1" applyAlignment="1">
      <alignment horizontal="center" vertical="center" wrapText="1"/>
    </xf>
    <xf numFmtId="0" fontId="98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8" fillId="34" borderId="14" xfId="0" applyFont="1" applyFill="1" applyBorder="1" applyAlignment="1">
      <alignment horizontal="center" vertical="top" textRotation="90"/>
    </xf>
    <xf numFmtId="0" fontId="98" fillId="34" borderId="15" xfId="0" applyFont="1" applyFill="1" applyBorder="1" applyAlignment="1">
      <alignment horizontal="center" vertical="top" textRotation="90"/>
    </xf>
    <xf numFmtId="0" fontId="98" fillId="34" borderId="14" xfId="0" applyFont="1" applyFill="1" applyBorder="1" applyAlignment="1">
      <alignment horizontal="center" vertical="top"/>
    </xf>
    <xf numFmtId="0" fontId="98" fillId="34" borderId="15" xfId="0" applyFont="1" applyFill="1" applyBorder="1" applyAlignment="1">
      <alignment horizontal="center" vertical="top"/>
    </xf>
    <xf numFmtId="0" fontId="98" fillId="0" borderId="14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3" fontId="98" fillId="0" borderId="14" xfId="0" applyNumberFormat="1" applyFont="1" applyBorder="1" applyAlignment="1">
      <alignment horizontal="center" vertical="center" textRotation="90"/>
    </xf>
    <xf numFmtId="3" fontId="98" fillId="0" borderId="16" xfId="0" applyNumberFormat="1" applyFont="1" applyBorder="1" applyAlignment="1">
      <alignment horizontal="center" vertical="center" textRotation="90"/>
    </xf>
    <xf numFmtId="3" fontId="98" fillId="34" borderId="14" xfId="0" applyNumberFormat="1" applyFont="1" applyFill="1" applyBorder="1" applyAlignment="1">
      <alignment horizontal="center" vertical="center" textRotation="90"/>
    </xf>
    <xf numFmtId="0" fontId="98" fillId="34" borderId="15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8" fillId="0" borderId="14" xfId="0" applyFont="1" applyBorder="1" applyAlignment="1">
      <alignment horizontal="center" vertical="top" textRotation="90"/>
    </xf>
    <xf numFmtId="0" fontId="98" fillId="0" borderId="16" xfId="0" applyFont="1" applyBorder="1" applyAlignment="1">
      <alignment horizontal="center" vertical="top" textRotation="90"/>
    </xf>
    <xf numFmtId="0" fontId="98" fillId="0" borderId="14" xfId="0" applyFont="1" applyBorder="1" applyAlignment="1">
      <alignment horizontal="center" vertical="top"/>
    </xf>
    <xf numFmtId="0" fontId="98" fillId="0" borderId="16" xfId="0" applyFont="1" applyBorder="1" applyAlignment="1">
      <alignment horizontal="center" vertical="top"/>
    </xf>
    <xf numFmtId="0" fontId="98" fillId="34" borderId="16" xfId="0" applyFont="1" applyFill="1" applyBorder="1" applyAlignment="1">
      <alignment horizontal="center"/>
    </xf>
    <xf numFmtId="17" fontId="98" fillId="34" borderId="14" xfId="0" applyNumberFormat="1" applyFont="1" applyFill="1" applyBorder="1" applyAlignment="1">
      <alignment horizontal="center" vertical="top"/>
    </xf>
    <xf numFmtId="17" fontId="98" fillId="34" borderId="16" xfId="0" applyNumberFormat="1" applyFont="1" applyFill="1" applyBorder="1" applyAlignment="1">
      <alignment horizontal="center" vertical="top"/>
    </xf>
    <xf numFmtId="0" fontId="98" fillId="34" borderId="16" xfId="0" applyFont="1" applyFill="1" applyBorder="1" applyAlignment="1">
      <alignment horizontal="center" vertical="center" textRotation="90"/>
    </xf>
    <xf numFmtId="0" fontId="98" fillId="0" borderId="16" xfId="0" applyFont="1" applyBorder="1" applyAlignment="1">
      <alignment horizontal="center" vertical="center" textRotation="90"/>
    </xf>
    <xf numFmtId="0" fontId="98" fillId="0" borderId="15" xfId="0" applyFont="1" applyBorder="1" applyAlignment="1">
      <alignment horizontal="center" vertical="center" textRotation="90"/>
    </xf>
    <xf numFmtId="0" fontId="98" fillId="0" borderId="14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107" fillId="20" borderId="12" xfId="0" applyFont="1" applyFill="1" applyBorder="1" applyAlignment="1">
      <alignment horizontal="left" vertical="center" wrapText="1"/>
    </xf>
    <xf numFmtId="0" fontId="107" fillId="20" borderId="30" xfId="0" applyFont="1" applyFill="1" applyBorder="1" applyAlignment="1">
      <alignment horizontal="left" vertical="center" wrapText="1"/>
    </xf>
    <xf numFmtId="0" fontId="107" fillId="20" borderId="18" xfId="0" applyFont="1" applyFill="1" applyBorder="1" applyAlignment="1">
      <alignment horizontal="left" vertical="center" wrapText="1"/>
    </xf>
    <xf numFmtId="0" fontId="98" fillId="34" borderId="16" xfId="0" applyFont="1" applyFill="1" applyBorder="1" applyAlignment="1">
      <alignment horizontal="center" vertical="top" textRotation="90"/>
    </xf>
    <xf numFmtId="0" fontId="98" fillId="34" borderId="14" xfId="0" applyFont="1" applyFill="1" applyBorder="1" applyAlignment="1">
      <alignment horizontal="center" vertical="top" wrapText="1"/>
    </xf>
    <xf numFmtId="0" fontId="98" fillId="34" borderId="16" xfId="0" applyFont="1" applyFill="1" applyBorder="1" applyAlignment="1">
      <alignment horizontal="center" vertical="top" wrapText="1"/>
    </xf>
    <xf numFmtId="0" fontId="98" fillId="34" borderId="15" xfId="0" applyFont="1" applyFill="1" applyBorder="1" applyAlignment="1">
      <alignment horizontal="center" vertical="top" wrapText="1"/>
    </xf>
    <xf numFmtId="0" fontId="98" fillId="0" borderId="15" xfId="0" applyFont="1" applyBorder="1" applyAlignment="1">
      <alignment horizontal="center" vertical="top" textRotation="90"/>
    </xf>
    <xf numFmtId="0" fontId="98" fillId="0" borderId="15" xfId="0" applyFont="1" applyBorder="1" applyAlignment="1">
      <alignment horizontal="center" vertical="top"/>
    </xf>
    <xf numFmtId="17" fontId="98" fillId="0" borderId="14" xfId="0" applyNumberFormat="1" applyFont="1" applyBorder="1" applyAlignment="1">
      <alignment horizontal="center" vertical="top"/>
    </xf>
    <xf numFmtId="0" fontId="98" fillId="7" borderId="14" xfId="0" applyFont="1" applyFill="1" applyBorder="1" applyAlignment="1">
      <alignment horizontal="center" vertical="center" wrapText="1"/>
    </xf>
    <xf numFmtId="0" fontId="98" fillId="7" borderId="16" xfId="0" applyFont="1" applyFill="1" applyBorder="1" applyAlignment="1">
      <alignment horizontal="center" vertical="center" wrapText="1"/>
    </xf>
    <xf numFmtId="0" fontId="98" fillId="7" borderId="15" xfId="0" applyFont="1" applyFill="1" applyBorder="1" applyAlignment="1">
      <alignment horizontal="center" vertical="center" wrapText="1"/>
    </xf>
    <xf numFmtId="0" fontId="98" fillId="7" borderId="14" xfId="0" applyFont="1" applyFill="1" applyBorder="1" applyAlignment="1">
      <alignment horizontal="center"/>
    </xf>
    <xf numFmtId="0" fontId="98" fillId="7" borderId="16" xfId="0" applyFont="1" applyFill="1" applyBorder="1" applyAlignment="1">
      <alignment horizontal="center"/>
    </xf>
    <xf numFmtId="0" fontId="98" fillId="7" borderId="15" xfId="0" applyFont="1" applyFill="1" applyBorder="1" applyAlignment="1">
      <alignment horizontal="center"/>
    </xf>
    <xf numFmtId="0" fontId="98" fillId="7" borderId="14" xfId="0" applyFont="1" applyFill="1" applyBorder="1" applyAlignment="1">
      <alignment horizontal="center" vertical="center"/>
    </xf>
    <xf numFmtId="0" fontId="98" fillId="7" borderId="16" xfId="0" applyFont="1" applyFill="1" applyBorder="1" applyAlignment="1">
      <alignment horizontal="center" vertical="center"/>
    </xf>
    <xf numFmtId="0" fontId="98" fillId="7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top" wrapText="1"/>
    </xf>
    <xf numFmtId="0" fontId="9" fillId="7" borderId="16" xfId="0" applyFont="1" applyFill="1" applyBorder="1" applyAlignment="1">
      <alignment horizontal="left" vertical="top" wrapText="1"/>
    </xf>
    <xf numFmtId="0" fontId="9" fillId="7" borderId="15" xfId="0" applyFont="1" applyFill="1" applyBorder="1" applyAlignment="1">
      <alignment horizontal="left" vertical="top" wrapText="1"/>
    </xf>
    <xf numFmtId="0" fontId="9" fillId="7" borderId="14" xfId="0" applyFont="1" applyFill="1" applyBorder="1" applyAlignment="1">
      <alignment horizontal="center" vertical="top" textRotation="90" wrapText="1"/>
    </xf>
    <xf numFmtId="0" fontId="9" fillId="7" borderId="16" xfId="0" applyFont="1" applyFill="1" applyBorder="1" applyAlignment="1">
      <alignment horizontal="center" vertical="top" textRotation="90" wrapText="1"/>
    </xf>
    <xf numFmtId="0" fontId="9" fillId="7" borderId="15" xfId="0" applyFont="1" applyFill="1" applyBorder="1" applyAlignment="1">
      <alignment horizontal="center" vertical="top" textRotation="90" wrapText="1"/>
    </xf>
    <xf numFmtId="3" fontId="98" fillId="7" borderId="14" xfId="0" applyNumberFormat="1" applyFont="1" applyFill="1" applyBorder="1" applyAlignment="1">
      <alignment horizontal="center" vertical="center" textRotation="90"/>
    </xf>
    <xf numFmtId="3" fontId="98" fillId="7" borderId="16" xfId="0" applyNumberFormat="1" applyFont="1" applyFill="1" applyBorder="1" applyAlignment="1">
      <alignment horizontal="center" vertical="center" textRotation="90"/>
    </xf>
    <xf numFmtId="3" fontId="98" fillId="7" borderId="15" xfId="0" applyNumberFormat="1" applyFont="1" applyFill="1" applyBorder="1" applyAlignment="1">
      <alignment horizontal="center" vertical="center" textRotation="90"/>
    </xf>
    <xf numFmtId="17" fontId="98" fillId="7" borderId="14" xfId="0" applyNumberFormat="1" applyFont="1" applyFill="1" applyBorder="1" applyAlignment="1">
      <alignment horizontal="center" vertical="top" wrapText="1"/>
    </xf>
    <xf numFmtId="17" fontId="98" fillId="7" borderId="16" xfId="0" applyNumberFormat="1" applyFont="1" applyFill="1" applyBorder="1" applyAlignment="1">
      <alignment horizontal="center" vertical="top" wrapText="1"/>
    </xf>
    <xf numFmtId="17" fontId="98" fillId="7" borderId="15" xfId="0" applyNumberFormat="1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9" fillId="7" borderId="16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8" fillId="7" borderId="14" xfId="0" applyFont="1" applyFill="1" applyBorder="1" applyAlignment="1">
      <alignment horizontal="center" vertical="top" textRotation="90"/>
    </xf>
    <xf numFmtId="0" fontId="98" fillId="7" borderId="16" xfId="0" applyFont="1" applyFill="1" applyBorder="1" applyAlignment="1">
      <alignment horizontal="center" vertical="top" textRotation="90"/>
    </xf>
    <xf numFmtId="0" fontId="98" fillId="7" borderId="15" xfId="0" applyFont="1" applyFill="1" applyBorder="1" applyAlignment="1">
      <alignment horizontal="center" vertical="top" textRotation="90"/>
    </xf>
    <xf numFmtId="17" fontId="98" fillId="7" borderId="14" xfId="0" applyNumberFormat="1" applyFont="1" applyFill="1" applyBorder="1" applyAlignment="1">
      <alignment horizontal="center" vertical="top"/>
    </xf>
    <xf numFmtId="17" fontId="98" fillId="7" borderId="16" xfId="0" applyNumberFormat="1" applyFont="1" applyFill="1" applyBorder="1" applyAlignment="1">
      <alignment horizontal="center" vertical="top"/>
    </xf>
    <xf numFmtId="17" fontId="98" fillId="7" borderId="15" xfId="0" applyNumberFormat="1" applyFont="1" applyFill="1" applyBorder="1" applyAlignment="1">
      <alignment horizontal="center" vertical="top"/>
    </xf>
    <xf numFmtId="17" fontId="98" fillId="0" borderId="16" xfId="0" applyNumberFormat="1" applyFont="1" applyBorder="1" applyAlignment="1">
      <alignment horizontal="center" vertical="top"/>
    </xf>
    <xf numFmtId="17" fontId="98" fillId="0" borderId="15" xfId="0" applyNumberFormat="1" applyFont="1" applyBorder="1" applyAlignment="1">
      <alignment horizontal="center" vertical="top"/>
    </xf>
    <xf numFmtId="3" fontId="98" fillId="0" borderId="15" xfId="0" applyNumberFormat="1" applyFont="1" applyBorder="1" applyAlignment="1">
      <alignment horizontal="center" vertical="center" textRotation="90"/>
    </xf>
    <xf numFmtId="0" fontId="98" fillId="0" borderId="14" xfId="0" applyFont="1" applyBorder="1" applyAlignment="1">
      <alignment horizontal="center" vertical="top" textRotation="90" wrapText="1" readingOrder="1"/>
    </xf>
    <xf numFmtId="0" fontId="98" fillId="0" borderId="16" xfId="0" applyFont="1" applyBorder="1" applyAlignment="1">
      <alignment horizontal="center" vertical="top" textRotation="90" wrapText="1" readingOrder="1"/>
    </xf>
    <xf numFmtId="0" fontId="98" fillId="0" borderId="23" xfId="0" applyFont="1" applyBorder="1" applyAlignment="1">
      <alignment horizontal="center" vertical="top" textRotation="90" wrapText="1" readingOrder="1"/>
    </xf>
    <xf numFmtId="17" fontId="98" fillId="0" borderId="14" xfId="0" applyNumberFormat="1" applyFont="1" applyBorder="1" applyAlignment="1">
      <alignment horizontal="center" vertical="top" wrapText="1"/>
    </xf>
    <xf numFmtId="0" fontId="98" fillId="0" borderId="15" xfId="0" applyFont="1" applyBorder="1" applyAlignment="1">
      <alignment horizontal="center" vertical="top" textRotation="90" wrapText="1" readingOrder="1"/>
    </xf>
    <xf numFmtId="3" fontId="98" fillId="0" borderId="14" xfId="0" applyNumberFormat="1" applyFont="1" applyBorder="1" applyAlignment="1">
      <alignment horizontal="center" vertical="top" textRotation="90"/>
    </xf>
    <xf numFmtId="3" fontId="98" fillId="0" borderId="16" xfId="0" applyNumberFormat="1" applyFont="1" applyBorder="1" applyAlignment="1">
      <alignment horizontal="center" vertical="top" textRotation="90"/>
    </xf>
    <xf numFmtId="3" fontId="98" fillId="0" borderId="15" xfId="0" applyNumberFormat="1" applyFont="1" applyBorder="1" applyAlignment="1">
      <alignment horizontal="center" vertical="top" textRotation="90"/>
    </xf>
    <xf numFmtId="0" fontId="98" fillId="0" borderId="31" xfId="0" applyFont="1" applyBorder="1" applyAlignment="1">
      <alignment horizontal="center"/>
    </xf>
    <xf numFmtId="0" fontId="98" fillId="0" borderId="23" xfId="0" applyFont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98" fillId="34" borderId="16" xfId="0" applyFont="1" applyFill="1" applyBorder="1" applyAlignment="1">
      <alignment horizontal="center" vertical="top"/>
    </xf>
    <xf numFmtId="0" fontId="98" fillId="0" borderId="24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98" fillId="34" borderId="14" xfId="0" applyFont="1" applyFill="1" applyBorder="1" applyAlignment="1">
      <alignment horizontal="center" vertical="center"/>
    </xf>
    <xf numFmtId="0" fontId="98" fillId="34" borderId="16" xfId="0" applyFont="1" applyFill="1" applyBorder="1" applyAlignment="1">
      <alignment horizontal="center" vertical="center"/>
    </xf>
    <xf numFmtId="0" fontId="98" fillId="34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vertical="top" wrapText="1"/>
    </xf>
    <xf numFmtId="0" fontId="98" fillId="34" borderId="23" xfId="0" applyFont="1" applyFill="1" applyBorder="1" applyAlignment="1">
      <alignment horizontal="center" vertical="top" textRotation="90"/>
    </xf>
    <xf numFmtId="0" fontId="9" fillId="7" borderId="14" xfId="61" applyNumberFormat="1" applyFont="1" applyFill="1" applyBorder="1" applyAlignment="1">
      <alignment horizontal="center" vertical="center" textRotation="90" wrapText="1"/>
    </xf>
    <xf numFmtId="0" fontId="9" fillId="7" borderId="16" xfId="61" applyNumberFormat="1" applyFont="1" applyFill="1" applyBorder="1" applyAlignment="1">
      <alignment horizontal="center" vertical="center" textRotation="90" wrapText="1"/>
    </xf>
    <xf numFmtId="3" fontId="9" fillId="7" borderId="14" xfId="61" applyNumberFormat="1" applyFont="1" applyFill="1" applyBorder="1" applyAlignment="1">
      <alignment horizontal="center" vertical="center" textRotation="90" wrapText="1"/>
    </xf>
    <xf numFmtId="0" fontId="98" fillId="7" borderId="14" xfId="0" applyFont="1" applyFill="1" applyBorder="1" applyAlignment="1">
      <alignment horizontal="center" vertical="top" wrapText="1"/>
    </xf>
    <xf numFmtId="0" fontId="98" fillId="7" borderId="16" xfId="0" applyFont="1" applyFill="1" applyBorder="1" applyAlignment="1">
      <alignment horizontal="center" vertical="top" wrapText="1"/>
    </xf>
    <xf numFmtId="0" fontId="98" fillId="7" borderId="15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left" vertical="top" wrapText="1"/>
    </xf>
    <xf numFmtId="0" fontId="9" fillId="7" borderId="25" xfId="0" applyFont="1" applyFill="1" applyBorder="1" applyAlignment="1">
      <alignment horizontal="left" vertical="top" wrapText="1"/>
    </xf>
    <xf numFmtId="0" fontId="9" fillId="7" borderId="17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9" fillId="7" borderId="14" xfId="0" applyFont="1" applyFill="1" applyBorder="1" applyAlignment="1">
      <alignment horizontal="center" vertical="center" textRotation="90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107" fillId="0" borderId="0" xfId="0" applyFont="1" applyAlignment="1">
      <alignment horizontal="center" vertical="center"/>
    </xf>
    <xf numFmtId="188" fontId="98" fillId="33" borderId="34" xfId="0" applyNumberFormat="1" applyFont="1" applyFill="1" applyBorder="1" applyAlignment="1">
      <alignment horizontal="center" vertical="top" textRotation="90" wrapText="1"/>
    </xf>
    <xf numFmtId="188" fontId="98" fillId="33" borderId="20" xfId="0" applyNumberFormat="1" applyFont="1" applyFill="1" applyBorder="1" applyAlignment="1">
      <alignment horizontal="center" vertical="top" textRotation="90" wrapText="1"/>
    </xf>
    <xf numFmtId="0" fontId="116" fillId="0" borderId="35" xfId="0" applyFont="1" applyBorder="1" applyAlignment="1">
      <alignment horizontal="center" vertical="top" wrapText="1"/>
    </xf>
    <xf numFmtId="0" fontId="116" fillId="0" borderId="36" xfId="0" applyFont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112" fillId="0" borderId="12" xfId="0" applyFont="1" applyBorder="1" applyAlignment="1">
      <alignment horizontal="center" vertical="top" wrapText="1"/>
    </xf>
    <xf numFmtId="0" fontId="112" fillId="0" borderId="30" xfId="0" applyFont="1" applyBorder="1" applyAlignment="1">
      <alignment horizontal="center" vertical="top" wrapText="1"/>
    </xf>
    <xf numFmtId="0" fontId="112" fillId="0" borderId="18" xfId="0" applyFont="1" applyBorder="1" applyAlignment="1">
      <alignment horizontal="center" vertical="top" wrapText="1"/>
    </xf>
    <xf numFmtId="0" fontId="95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/>
    </xf>
    <xf numFmtId="0" fontId="9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6" xfId="0" applyFont="1" applyBorder="1" applyAlignment="1">
      <alignment/>
    </xf>
    <xf numFmtId="0" fontId="98" fillId="33" borderId="34" xfId="0" applyFont="1" applyFill="1" applyBorder="1" applyAlignment="1">
      <alignment horizontal="center" vertical="top" textRotation="90" wrapText="1"/>
    </xf>
    <xf numFmtId="0" fontId="98" fillId="33" borderId="20" xfId="0" applyFont="1" applyFill="1" applyBorder="1" applyAlignment="1">
      <alignment horizontal="center" vertical="top" textRotation="90" wrapText="1"/>
    </xf>
    <xf numFmtId="189" fontId="98" fillId="33" borderId="34" xfId="0" applyNumberFormat="1" applyFont="1" applyFill="1" applyBorder="1" applyAlignment="1">
      <alignment horizontal="center" vertical="top" wrapText="1"/>
    </xf>
    <xf numFmtId="189" fontId="98" fillId="33" borderId="20" xfId="0" applyNumberFormat="1" applyFont="1" applyFill="1" applyBorder="1" applyAlignment="1">
      <alignment horizontal="center" vertical="top" wrapText="1"/>
    </xf>
    <xf numFmtId="187" fontId="98" fillId="33" borderId="34" xfId="0" applyNumberFormat="1" applyFont="1" applyFill="1" applyBorder="1" applyAlignment="1">
      <alignment horizontal="center" vertical="top" textRotation="90" wrapText="1"/>
    </xf>
    <xf numFmtId="187" fontId="98" fillId="33" borderId="20" xfId="0" applyNumberFormat="1" applyFont="1" applyFill="1" applyBorder="1" applyAlignment="1">
      <alignment horizontal="center" vertical="top" textRotation="90" wrapText="1"/>
    </xf>
    <xf numFmtId="3" fontId="98" fillId="33" borderId="34" xfId="0" applyNumberFormat="1" applyFont="1" applyFill="1" applyBorder="1" applyAlignment="1">
      <alignment horizontal="center" vertical="top" textRotation="90"/>
    </xf>
    <xf numFmtId="3" fontId="98" fillId="33" borderId="20" xfId="0" applyNumberFormat="1" applyFont="1" applyFill="1" applyBorder="1" applyAlignment="1">
      <alignment horizontal="center" vertical="top" textRotation="90"/>
    </xf>
    <xf numFmtId="0" fontId="112" fillId="0" borderId="11" xfId="0" applyFont="1" applyBorder="1" applyAlignment="1">
      <alignment horizontal="left" vertical="center"/>
    </xf>
    <xf numFmtId="43" fontId="98" fillId="33" borderId="14" xfId="61" applyFont="1" applyFill="1" applyBorder="1" applyAlignment="1">
      <alignment horizontal="center" vertical="top" textRotation="90" wrapText="1"/>
    </xf>
    <xf numFmtId="43" fontId="98" fillId="33" borderId="16" xfId="61" applyFont="1" applyFill="1" applyBorder="1" applyAlignment="1">
      <alignment horizontal="center" vertical="top" textRotation="90" wrapText="1"/>
    </xf>
    <xf numFmtId="43" fontId="98" fillId="33" borderId="15" xfId="61" applyFont="1" applyFill="1" applyBorder="1" applyAlignment="1">
      <alignment horizontal="center" vertical="top" textRotation="90" wrapText="1"/>
    </xf>
    <xf numFmtId="0" fontId="98" fillId="33" borderId="14" xfId="0" applyFont="1" applyFill="1" applyBorder="1" applyAlignment="1">
      <alignment horizontal="center" vertical="top" textRotation="90" wrapText="1"/>
    </xf>
    <xf numFmtId="0" fontId="98" fillId="33" borderId="16" xfId="0" applyFont="1" applyFill="1" applyBorder="1" applyAlignment="1">
      <alignment horizontal="center" vertical="top" textRotation="90" wrapText="1"/>
    </xf>
    <xf numFmtId="0" fontId="98" fillId="33" borderId="15" xfId="0" applyFont="1" applyFill="1" applyBorder="1" applyAlignment="1">
      <alignment horizontal="center" vertical="top" textRotation="90" wrapText="1"/>
    </xf>
    <xf numFmtId="0" fontId="98" fillId="33" borderId="14" xfId="0" applyFont="1" applyFill="1" applyBorder="1" applyAlignment="1">
      <alignment horizontal="center" vertical="top" wrapText="1"/>
    </xf>
    <xf numFmtId="0" fontId="98" fillId="33" borderId="16" xfId="0" applyFont="1" applyFill="1" applyBorder="1" applyAlignment="1">
      <alignment horizontal="center" vertical="top" wrapText="1"/>
    </xf>
    <xf numFmtId="4" fontId="98" fillId="33" borderId="14" xfId="61" applyNumberFormat="1" applyFont="1" applyFill="1" applyBorder="1" applyAlignment="1">
      <alignment horizontal="center" vertical="top" textRotation="90" wrapText="1"/>
    </xf>
    <xf numFmtId="4" fontId="98" fillId="33" borderId="16" xfId="61" applyNumberFormat="1" applyFont="1" applyFill="1" applyBorder="1" applyAlignment="1">
      <alignment horizontal="center" vertical="top" textRotation="90" wrapText="1"/>
    </xf>
    <xf numFmtId="4" fontId="98" fillId="33" borderId="15" xfId="61" applyNumberFormat="1" applyFont="1" applyFill="1" applyBorder="1" applyAlignment="1">
      <alignment horizontal="center" vertical="top" textRotation="90" wrapText="1"/>
    </xf>
    <xf numFmtId="15" fontId="98" fillId="33" borderId="14" xfId="0" applyNumberFormat="1" applyFont="1" applyFill="1" applyBorder="1" applyAlignment="1">
      <alignment horizontal="center" vertical="top" wrapText="1"/>
    </xf>
    <xf numFmtId="0" fontId="98" fillId="33" borderId="16" xfId="0" applyNumberFormat="1" applyFont="1" applyFill="1" applyBorder="1" applyAlignment="1">
      <alignment horizontal="center" vertical="top" wrapText="1"/>
    </xf>
    <xf numFmtId="0" fontId="116" fillId="0" borderId="34" xfId="0" applyFont="1" applyBorder="1" applyAlignment="1">
      <alignment horizontal="center" vertical="top" wrapText="1"/>
    </xf>
    <xf numFmtId="0" fontId="116" fillId="0" borderId="20" xfId="0" applyFont="1" applyBorder="1" applyAlignment="1">
      <alignment horizontal="center" vertical="top" wrapText="1"/>
    </xf>
    <xf numFmtId="3" fontId="98" fillId="33" borderId="36" xfId="0" applyNumberFormat="1" applyFont="1" applyFill="1" applyBorder="1" applyAlignment="1">
      <alignment horizontal="center" vertical="top" textRotation="90"/>
    </xf>
    <xf numFmtId="187" fontId="98" fillId="33" borderId="36" xfId="0" applyNumberFormat="1" applyFont="1" applyFill="1" applyBorder="1" applyAlignment="1">
      <alignment horizontal="center" vertical="top" textRotation="90" wrapText="1"/>
    </xf>
    <xf numFmtId="188" fontId="98" fillId="33" borderId="36" xfId="0" applyNumberFormat="1" applyFont="1" applyFill="1" applyBorder="1" applyAlignment="1">
      <alignment horizontal="center" vertical="top" textRotation="90" wrapText="1"/>
    </xf>
    <xf numFmtId="0" fontId="9" fillId="0" borderId="3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8" fillId="33" borderId="36" xfId="0" applyFont="1" applyFill="1" applyBorder="1" applyAlignment="1">
      <alignment horizontal="center" vertical="top" textRotation="90" wrapText="1"/>
    </xf>
    <xf numFmtId="0" fontId="98" fillId="33" borderId="34" xfId="0" applyFont="1" applyFill="1" applyBorder="1" applyAlignment="1">
      <alignment horizontal="center" vertical="top" wrapText="1"/>
    </xf>
    <xf numFmtId="0" fontId="98" fillId="33" borderId="36" xfId="0" applyFont="1" applyFill="1" applyBorder="1" applyAlignment="1">
      <alignment horizontal="center" vertical="top" wrapText="1"/>
    </xf>
    <xf numFmtId="0" fontId="98" fillId="33" borderId="20" xfId="0" applyFont="1" applyFill="1" applyBorder="1" applyAlignment="1">
      <alignment horizontal="center" vertical="top" wrapText="1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5" fillId="0" borderId="11" xfId="0" applyFont="1" applyBorder="1" applyAlignment="1">
      <alignment horizontal="left" vertical="center"/>
    </xf>
    <xf numFmtId="0" fontId="112" fillId="33" borderId="10" xfId="0" applyFont="1" applyFill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184" fontId="17" fillId="0" borderId="14" xfId="61" applyNumberFormat="1" applyFont="1" applyBorder="1" applyAlignment="1">
      <alignment horizontal="center" vertical="top" textRotation="90" wrapText="1"/>
    </xf>
    <xf numFmtId="184" fontId="17" fillId="0" borderId="16" xfId="61" applyNumberFormat="1" applyFont="1" applyBorder="1" applyAlignment="1">
      <alignment horizontal="center" vertical="top" textRotation="90" wrapText="1"/>
    </xf>
    <xf numFmtId="184" fontId="17" fillId="0" borderId="15" xfId="61" applyNumberFormat="1" applyFont="1" applyBorder="1" applyAlignment="1">
      <alignment horizontal="center" vertical="top" textRotation="90" wrapText="1"/>
    </xf>
    <xf numFmtId="0" fontId="17" fillId="0" borderId="14" xfId="0" applyFont="1" applyBorder="1" applyAlignment="1">
      <alignment vertical="top" wrapText="1" readingOrder="1"/>
    </xf>
    <xf numFmtId="0" fontId="17" fillId="0" borderId="16" xfId="0" applyFont="1" applyBorder="1" applyAlignment="1">
      <alignment vertical="top" wrapText="1" readingOrder="1"/>
    </xf>
    <xf numFmtId="0" fontId="17" fillId="0" borderId="15" xfId="0" applyFont="1" applyBorder="1" applyAlignment="1">
      <alignment vertical="top" wrapText="1" readingOrder="1"/>
    </xf>
    <xf numFmtId="3" fontId="17" fillId="33" borderId="14" xfId="61" applyNumberFormat="1" applyFont="1" applyFill="1" applyBorder="1" applyAlignment="1">
      <alignment horizontal="center" vertical="top" wrapText="1" readingOrder="1"/>
    </xf>
    <xf numFmtId="3" fontId="17" fillId="33" borderId="16" xfId="61" applyNumberFormat="1" applyFont="1" applyFill="1" applyBorder="1" applyAlignment="1">
      <alignment horizontal="center" vertical="top" wrapText="1" readingOrder="1"/>
    </xf>
    <xf numFmtId="3" fontId="17" fillId="33" borderId="15" xfId="61" applyNumberFormat="1" applyFont="1" applyFill="1" applyBorder="1" applyAlignment="1">
      <alignment horizontal="center" vertical="top" wrapText="1" readingOrder="1"/>
    </xf>
    <xf numFmtId="0" fontId="17" fillId="35" borderId="14" xfId="0" applyFont="1" applyFill="1" applyBorder="1" applyAlignment="1">
      <alignment horizontal="center" vertical="top" wrapText="1" readingOrder="1"/>
    </xf>
    <xf numFmtId="0" fontId="17" fillId="35" borderId="16" xfId="0" applyFont="1" applyFill="1" applyBorder="1" applyAlignment="1">
      <alignment horizontal="center" vertical="top" wrapText="1" readingOrder="1"/>
    </xf>
    <xf numFmtId="0" fontId="17" fillId="35" borderId="15" xfId="0" applyFont="1" applyFill="1" applyBorder="1" applyAlignment="1">
      <alignment horizontal="center" vertical="top" wrapText="1" readingOrder="1"/>
    </xf>
    <xf numFmtId="49" fontId="17" fillId="35" borderId="14" xfId="61" applyNumberFormat="1" applyFont="1" applyFill="1" applyBorder="1" applyAlignment="1">
      <alignment horizontal="center" vertical="top" wrapText="1" readingOrder="1"/>
    </xf>
    <xf numFmtId="49" fontId="17" fillId="35" borderId="16" xfId="61" applyNumberFormat="1" applyFont="1" applyFill="1" applyBorder="1" applyAlignment="1">
      <alignment horizontal="center" vertical="top" wrapText="1" readingOrder="1"/>
    </xf>
    <xf numFmtId="49" fontId="17" fillId="35" borderId="15" xfId="61" applyNumberFormat="1" applyFont="1" applyFill="1" applyBorder="1" applyAlignment="1">
      <alignment horizontal="center" vertical="top" wrapText="1" readingOrder="1"/>
    </xf>
    <xf numFmtId="3" fontId="17" fillId="35" borderId="14" xfId="61" applyNumberFormat="1" applyFont="1" applyFill="1" applyBorder="1" applyAlignment="1">
      <alignment horizontal="center" vertical="top" wrapText="1" readingOrder="1"/>
    </xf>
    <xf numFmtId="3" fontId="17" fillId="35" borderId="16" xfId="61" applyNumberFormat="1" applyFont="1" applyFill="1" applyBorder="1" applyAlignment="1">
      <alignment horizontal="center" vertical="top" wrapText="1" readingOrder="1"/>
    </xf>
    <xf numFmtId="3" fontId="17" fillId="35" borderId="15" xfId="61" applyNumberFormat="1" applyFont="1" applyFill="1" applyBorder="1" applyAlignment="1">
      <alignment horizontal="center" vertical="top" wrapText="1" readingOrder="1"/>
    </xf>
    <xf numFmtId="0" fontId="17" fillId="33" borderId="14" xfId="45" applyFont="1" applyFill="1" applyBorder="1" applyAlignment="1">
      <alignment vertical="top" wrapText="1"/>
      <protection/>
    </xf>
    <xf numFmtId="0" fontId="17" fillId="33" borderId="15" xfId="45" applyFont="1" applyFill="1" applyBorder="1" applyAlignment="1">
      <alignment vertical="top" wrapText="1"/>
      <protection/>
    </xf>
    <xf numFmtId="3" fontId="17" fillId="33" borderId="14" xfId="45" applyNumberFormat="1" applyFont="1" applyFill="1" applyBorder="1" applyAlignment="1">
      <alignment horizontal="center" vertical="center"/>
      <protection/>
    </xf>
    <xf numFmtId="3" fontId="17" fillId="33" borderId="15" xfId="45" applyNumberFormat="1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 vertical="top" wrapText="1" readingOrder="1"/>
    </xf>
    <xf numFmtId="0" fontId="17" fillId="0" borderId="16" xfId="0" applyFont="1" applyBorder="1" applyAlignment="1">
      <alignment horizontal="center" vertical="top" wrapText="1" readingOrder="1"/>
    </xf>
    <xf numFmtId="0" fontId="17" fillId="0" borderId="15" xfId="0" applyFont="1" applyBorder="1" applyAlignment="1">
      <alignment horizontal="center" vertical="top" wrapText="1" readingOrder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0" borderId="16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30" xfId="0" applyFont="1" applyFill="1" applyBorder="1" applyAlignment="1">
      <alignment horizontal="center" vertical="center" wrapText="1"/>
    </xf>
    <xf numFmtId="0" fontId="17" fillId="20" borderId="18" xfId="0" applyFont="1" applyFill="1" applyBorder="1" applyAlignment="1">
      <alignment horizontal="center" vertical="center" wrapText="1"/>
    </xf>
    <xf numFmtId="3" fontId="11" fillId="0" borderId="14" xfId="61" applyNumberFormat="1" applyFont="1" applyBorder="1" applyAlignment="1">
      <alignment horizontal="center" vertical="center" textRotation="90" wrapText="1"/>
    </xf>
    <xf numFmtId="0" fontId="11" fillId="0" borderId="15" xfId="61" applyNumberFormat="1" applyFont="1" applyBorder="1" applyAlignment="1">
      <alignment horizontal="center" vertical="center" textRotation="90" wrapText="1"/>
    </xf>
    <xf numFmtId="3" fontId="9" fillId="0" borderId="14" xfId="61" applyNumberFormat="1" applyFont="1" applyBorder="1" applyAlignment="1">
      <alignment horizontal="center" vertical="center" textRotation="90" wrapText="1"/>
    </xf>
    <xf numFmtId="0" fontId="9" fillId="0" borderId="16" xfId="61" applyNumberFormat="1" applyFont="1" applyBorder="1" applyAlignment="1">
      <alignment horizontal="center" vertical="center" textRotation="90" wrapText="1"/>
    </xf>
    <xf numFmtId="0" fontId="9" fillId="0" borderId="15" xfId="61" applyNumberFormat="1" applyFont="1" applyBorder="1" applyAlignment="1">
      <alignment horizontal="center" vertical="center" textRotation="90" wrapText="1"/>
    </xf>
    <xf numFmtId="0" fontId="98" fillId="0" borderId="14" xfId="0" applyNumberFormat="1" applyFont="1" applyFill="1" applyBorder="1" applyAlignment="1">
      <alignment horizontal="center" vertical="center" textRotation="90" wrapText="1"/>
    </xf>
    <xf numFmtId="0" fontId="98" fillId="0" borderId="16" xfId="0" applyNumberFormat="1" applyFont="1" applyFill="1" applyBorder="1" applyAlignment="1">
      <alignment horizontal="center" vertical="center" textRotation="90" wrapText="1"/>
    </xf>
    <xf numFmtId="0" fontId="98" fillId="0" borderId="15" xfId="0" applyNumberFormat="1" applyFont="1" applyFill="1" applyBorder="1" applyAlignment="1">
      <alignment horizontal="center" vertical="center" textRotation="90" wrapText="1"/>
    </xf>
    <xf numFmtId="0" fontId="112" fillId="35" borderId="12" xfId="0" applyFont="1" applyFill="1" applyBorder="1" applyAlignment="1">
      <alignment horizontal="center" vertical="top" wrapText="1"/>
    </xf>
    <xf numFmtId="0" fontId="112" fillId="35" borderId="30" xfId="0" applyFont="1" applyFill="1" applyBorder="1" applyAlignment="1">
      <alignment horizontal="center" vertical="top" wrapText="1"/>
    </xf>
    <xf numFmtId="0" fontId="112" fillId="35" borderId="1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112" fillId="35" borderId="17" xfId="0" applyFont="1" applyFill="1" applyBorder="1" applyAlignment="1">
      <alignment horizontal="center" vertical="top" wrapText="1"/>
    </xf>
    <xf numFmtId="0" fontId="112" fillId="35" borderId="11" xfId="0" applyFont="1" applyFill="1" applyBorder="1" applyAlignment="1">
      <alignment horizontal="center" vertical="top" wrapText="1"/>
    </xf>
    <xf numFmtId="0" fontId="98" fillId="0" borderId="14" xfId="69" applyFont="1" applyBorder="1" applyAlignment="1">
      <alignment horizontal="left" vertical="top"/>
      <protection/>
    </xf>
    <xf numFmtId="0" fontId="98" fillId="0" borderId="16" xfId="69" applyFont="1" applyBorder="1" applyAlignment="1">
      <alignment horizontal="left" vertical="top"/>
      <protection/>
    </xf>
    <xf numFmtId="0" fontId="98" fillId="33" borderId="14" xfId="0" applyFont="1" applyFill="1" applyBorder="1" applyAlignment="1">
      <alignment horizontal="left" vertical="top" wrapText="1"/>
    </xf>
    <xf numFmtId="0" fontId="98" fillId="33" borderId="15" xfId="0" applyFont="1" applyFill="1" applyBorder="1" applyAlignment="1">
      <alignment horizontal="left" vertical="top" wrapText="1"/>
    </xf>
    <xf numFmtId="0" fontId="112" fillId="33" borderId="14" xfId="0" applyFont="1" applyFill="1" applyBorder="1" applyAlignment="1">
      <alignment horizontal="left" vertical="top" wrapText="1"/>
    </xf>
    <xf numFmtId="0" fontId="112" fillId="33" borderId="15" xfId="0" applyFont="1" applyFill="1" applyBorder="1" applyAlignment="1">
      <alignment horizontal="left" vertical="top" wrapText="1"/>
    </xf>
    <xf numFmtId="0" fontId="98" fillId="0" borderId="14" xfId="69" applyFont="1" applyBorder="1" applyAlignment="1">
      <alignment horizontal="center" vertical="top"/>
      <protection/>
    </xf>
    <xf numFmtId="0" fontId="98" fillId="0" borderId="16" xfId="69" applyFont="1" applyBorder="1" applyAlignment="1">
      <alignment horizontal="center" vertical="top"/>
      <protection/>
    </xf>
    <xf numFmtId="0" fontId="98" fillId="0" borderId="15" xfId="69" applyFont="1" applyBorder="1" applyAlignment="1">
      <alignment horizontal="center" vertical="top"/>
      <protection/>
    </xf>
    <xf numFmtId="0" fontId="11" fillId="0" borderId="16" xfId="61" applyNumberFormat="1" applyFont="1" applyBorder="1" applyAlignment="1">
      <alignment horizontal="center" vertical="center" textRotation="90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30" xfId="0" applyFont="1" applyFill="1" applyBorder="1" applyAlignment="1">
      <alignment horizontal="center" vertical="top" wrapText="1"/>
    </xf>
    <xf numFmtId="0" fontId="112" fillId="35" borderId="10" xfId="0" applyFont="1" applyFill="1" applyBorder="1" applyAlignment="1">
      <alignment horizontal="center" vertical="top" wrapText="1"/>
    </xf>
    <xf numFmtId="0" fontId="98" fillId="0" borderId="10" xfId="69" applyFont="1" applyBorder="1" applyAlignment="1">
      <alignment horizontal="left" vertical="top" wrapText="1"/>
      <protection/>
    </xf>
    <xf numFmtId="3" fontId="9" fillId="0" borderId="14" xfId="61" applyNumberFormat="1" applyFont="1" applyBorder="1" applyAlignment="1">
      <alignment horizontal="center" vertical="center" textRotation="90"/>
    </xf>
    <xf numFmtId="3" fontId="9" fillId="0" borderId="15" xfId="61" applyNumberFormat="1" applyFont="1" applyBorder="1" applyAlignment="1">
      <alignment horizontal="center" vertical="center" textRotation="90"/>
    </xf>
    <xf numFmtId="0" fontId="11" fillId="35" borderId="18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3" fontId="9" fillId="0" borderId="16" xfId="61" applyNumberFormat="1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3" fontId="112" fillId="33" borderId="14" xfId="0" applyNumberFormat="1" applyFont="1" applyFill="1" applyBorder="1" applyAlignment="1">
      <alignment horizontal="center" vertical="center" textRotation="90" wrapText="1"/>
    </xf>
    <xf numFmtId="0" fontId="112" fillId="33" borderId="16" xfId="0" applyNumberFormat="1" applyFont="1" applyFill="1" applyBorder="1" applyAlignment="1">
      <alignment horizontal="center" vertical="center" textRotation="90" wrapText="1"/>
    </xf>
    <xf numFmtId="0" fontId="112" fillId="33" borderId="15" xfId="0" applyNumberFormat="1" applyFont="1" applyFill="1" applyBorder="1" applyAlignment="1">
      <alignment horizontal="center" vertical="center" textRotation="90" wrapText="1"/>
    </xf>
    <xf numFmtId="0" fontId="98" fillId="33" borderId="16" xfId="0" applyFont="1" applyFill="1" applyBorder="1" applyAlignment="1">
      <alignment horizontal="left" vertical="top" wrapText="1"/>
    </xf>
    <xf numFmtId="0" fontId="112" fillId="20" borderId="10" xfId="0" applyNumberFormat="1" applyFont="1" applyFill="1" applyBorder="1" applyAlignment="1">
      <alignment horizontal="center" vertical="center" wrapText="1"/>
    </xf>
    <xf numFmtId="0" fontId="107" fillId="33" borderId="14" xfId="0" applyNumberFormat="1" applyFont="1" applyFill="1" applyBorder="1" applyAlignment="1">
      <alignment horizontal="center" vertical="center" wrapText="1"/>
    </xf>
    <xf numFmtId="0" fontId="107" fillId="33" borderId="16" xfId="0" applyNumberFormat="1" applyFont="1" applyFill="1" applyBorder="1" applyAlignment="1">
      <alignment horizontal="center" vertical="center" wrapText="1"/>
    </xf>
    <xf numFmtId="0" fontId="107" fillId="33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107" fillId="20" borderId="10" xfId="0" applyNumberFormat="1" applyFont="1" applyFill="1" applyBorder="1" applyAlignment="1">
      <alignment horizontal="center" vertical="center" wrapText="1"/>
    </xf>
    <xf numFmtId="0" fontId="107" fillId="33" borderId="14" xfId="0" applyFont="1" applyFill="1" applyBorder="1" applyAlignment="1">
      <alignment vertical="center" textRotation="90" wrapText="1"/>
    </xf>
    <xf numFmtId="0" fontId="107" fillId="33" borderId="16" xfId="0" applyFont="1" applyFill="1" applyBorder="1" applyAlignment="1">
      <alignment vertical="center" textRotation="90" wrapText="1"/>
    </xf>
    <xf numFmtId="0" fontId="107" fillId="33" borderId="15" xfId="0" applyFont="1" applyFill="1" applyBorder="1" applyAlignment="1">
      <alignment vertical="center" textRotation="90" wrapText="1"/>
    </xf>
    <xf numFmtId="0" fontId="107" fillId="20" borderId="14" xfId="0" applyNumberFormat="1" applyFont="1" applyFill="1" applyBorder="1" applyAlignment="1">
      <alignment horizontal="center" vertical="center" wrapText="1"/>
    </xf>
    <xf numFmtId="0" fontId="107" fillId="20" borderId="16" xfId="0" applyNumberFormat="1" applyFont="1" applyFill="1" applyBorder="1" applyAlignment="1">
      <alignment horizontal="center" vertical="center" wrapText="1"/>
    </xf>
    <xf numFmtId="0" fontId="107" fillId="20" borderId="15" xfId="0" applyNumberFormat="1" applyFont="1" applyFill="1" applyBorder="1" applyAlignment="1">
      <alignment horizontal="center" vertical="center" wrapText="1"/>
    </xf>
    <xf numFmtId="0" fontId="105" fillId="33" borderId="14" xfId="0" applyNumberFormat="1" applyFont="1" applyFill="1" applyBorder="1" applyAlignment="1">
      <alignment horizontal="center" vertical="center" textRotation="90" wrapText="1"/>
    </xf>
    <xf numFmtId="0" fontId="105" fillId="33" borderId="16" xfId="0" applyNumberFormat="1" applyFont="1" applyFill="1" applyBorder="1" applyAlignment="1">
      <alignment horizontal="center" vertical="center" textRotation="90" wrapText="1"/>
    </xf>
    <xf numFmtId="0" fontId="105" fillId="33" borderId="15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top" wrapText="1"/>
    </xf>
    <xf numFmtId="0" fontId="9" fillId="12" borderId="16" xfId="0" applyFont="1" applyFill="1" applyBorder="1" applyAlignment="1">
      <alignment horizontal="center" vertical="top" wrapText="1"/>
    </xf>
    <xf numFmtId="184" fontId="9" fillId="12" borderId="14" xfId="61" applyNumberFormat="1" applyFont="1" applyFill="1" applyBorder="1" applyAlignment="1">
      <alignment horizontal="left" vertical="top" wrapText="1"/>
    </xf>
    <xf numFmtId="184" fontId="9" fillId="12" borderId="16" xfId="61" applyNumberFormat="1" applyFont="1" applyFill="1" applyBorder="1" applyAlignment="1">
      <alignment horizontal="left" vertical="top" wrapText="1"/>
    </xf>
    <xf numFmtId="17" fontId="9" fillId="12" borderId="14" xfId="61" applyNumberFormat="1" applyFont="1" applyFill="1" applyBorder="1" applyAlignment="1">
      <alignment horizontal="center" vertical="top" wrapText="1"/>
    </xf>
    <xf numFmtId="0" fontId="9" fillId="12" borderId="16" xfId="61" applyNumberFormat="1" applyFont="1" applyFill="1" applyBorder="1" applyAlignment="1">
      <alignment horizontal="center" vertical="top" wrapText="1"/>
    </xf>
    <xf numFmtId="184" fontId="9" fillId="12" borderId="14" xfId="61" applyNumberFormat="1" applyFont="1" applyFill="1" applyBorder="1" applyAlignment="1">
      <alignment horizontal="center" vertical="top" textRotation="90" wrapText="1" readingOrder="1"/>
    </xf>
    <xf numFmtId="184" fontId="9" fillId="12" borderId="16" xfId="61" applyNumberFormat="1" applyFont="1" applyFill="1" applyBorder="1" applyAlignment="1">
      <alignment horizontal="center" vertical="top" textRotation="90" wrapText="1" readingOrder="1"/>
    </xf>
    <xf numFmtId="184" fontId="9" fillId="0" borderId="16" xfId="61" applyNumberFormat="1" applyFont="1" applyBorder="1" applyAlignment="1">
      <alignment horizontal="center" vertical="top" textRotation="90" wrapText="1" readingOrder="1"/>
    </xf>
    <xf numFmtId="184" fontId="9" fillId="0" borderId="14" xfId="61" applyNumberFormat="1" applyFont="1" applyFill="1" applyBorder="1" applyAlignment="1">
      <alignment horizontal="left" vertical="top" wrapText="1"/>
    </xf>
    <xf numFmtId="184" fontId="9" fillId="0" borderId="16" xfId="61" applyNumberFormat="1" applyFont="1" applyFill="1" applyBorder="1" applyAlignment="1">
      <alignment horizontal="left" vertical="top" wrapText="1"/>
    </xf>
    <xf numFmtId="184" fontId="9" fillId="33" borderId="14" xfId="61" applyNumberFormat="1" applyFont="1" applyFill="1" applyBorder="1" applyAlignment="1">
      <alignment horizontal="left" vertical="top" wrapText="1"/>
    </xf>
    <xf numFmtId="184" fontId="9" fillId="33" borderId="16" xfId="61" applyNumberFormat="1" applyFont="1" applyFill="1" applyBorder="1" applyAlignment="1">
      <alignment horizontal="left" vertical="top" wrapText="1"/>
    </xf>
    <xf numFmtId="17" fontId="9" fillId="0" borderId="14" xfId="61" applyNumberFormat="1" applyFont="1" applyFill="1" applyBorder="1" applyAlignment="1">
      <alignment horizontal="center" vertical="top" wrapText="1"/>
    </xf>
    <xf numFmtId="0" fontId="9" fillId="0" borderId="16" xfId="61" applyNumberFormat="1" applyFont="1" applyFill="1" applyBorder="1" applyAlignment="1">
      <alignment horizontal="center" vertical="top" wrapText="1"/>
    </xf>
    <xf numFmtId="184" fontId="9" fillId="0" borderId="14" xfId="61" applyNumberFormat="1" applyFont="1" applyBorder="1" applyAlignment="1">
      <alignment horizontal="center" vertical="top" textRotation="90" wrapText="1" readingOrder="1"/>
    </xf>
    <xf numFmtId="0" fontId="9" fillId="38" borderId="12" xfId="0" applyFont="1" applyFill="1" applyBorder="1" applyAlignment="1">
      <alignment horizontal="center"/>
    </xf>
    <xf numFmtId="0" fontId="9" fillId="38" borderId="30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184" fontId="9" fillId="12" borderId="14" xfId="61" applyNumberFormat="1" applyFont="1" applyFill="1" applyBorder="1" applyAlignment="1">
      <alignment horizontal="left" vertical="top" textRotation="90" wrapText="1"/>
    </xf>
    <xf numFmtId="184" fontId="9" fillId="12" borderId="15" xfId="61" applyNumberFormat="1" applyFont="1" applyFill="1" applyBorder="1" applyAlignment="1">
      <alignment horizontal="left" vertical="top" textRotation="90" wrapText="1"/>
    </xf>
    <xf numFmtId="0" fontId="11" fillId="38" borderId="12" xfId="0" applyFont="1" applyFill="1" applyBorder="1" applyAlignment="1">
      <alignment horizontal="center"/>
    </xf>
    <xf numFmtId="0" fontId="11" fillId="38" borderId="30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horizontal="left" vertical="top" wrapText="1"/>
    </xf>
    <xf numFmtId="0" fontId="11" fillId="38" borderId="30" xfId="0" applyFont="1" applyFill="1" applyBorder="1" applyAlignment="1">
      <alignment horizontal="left" vertical="top" wrapText="1"/>
    </xf>
    <xf numFmtId="0" fontId="11" fillId="38" borderId="18" xfId="0" applyFont="1" applyFill="1" applyBorder="1" applyAlignment="1">
      <alignment horizontal="left" vertical="top" wrapText="1"/>
    </xf>
    <xf numFmtId="184" fontId="9" fillId="0" borderId="16" xfId="61" applyNumberFormat="1" applyFont="1" applyBorder="1" applyAlignment="1">
      <alignment horizontal="center" vertical="top" textRotation="90" wrapText="1"/>
    </xf>
    <xf numFmtId="17" fontId="9" fillId="0" borderId="16" xfId="61" applyNumberFormat="1" applyFont="1" applyFill="1" applyBorder="1" applyAlignment="1">
      <alignment horizontal="center" vertical="top" wrapText="1"/>
    </xf>
    <xf numFmtId="184" fontId="9" fillId="0" borderId="25" xfId="61" applyNumberFormat="1" applyFont="1" applyFill="1" applyBorder="1" applyAlignment="1">
      <alignment horizontal="left" vertical="top" wrapText="1"/>
    </xf>
    <xf numFmtId="184" fontId="9" fillId="0" borderId="15" xfId="61" applyNumberFormat="1" applyFont="1" applyFill="1" applyBorder="1" applyAlignment="1">
      <alignment horizontal="left" vertical="top" wrapText="1"/>
    </xf>
    <xf numFmtId="184" fontId="9" fillId="0" borderId="24" xfId="61" applyNumberFormat="1" applyFont="1" applyFill="1" applyBorder="1" applyAlignment="1">
      <alignment horizontal="left" vertical="top" wrapText="1"/>
    </xf>
    <xf numFmtId="184" fontId="9" fillId="33" borderId="23" xfId="61" applyNumberFormat="1" applyFont="1" applyFill="1" applyBorder="1" applyAlignment="1">
      <alignment horizontal="left" vertical="top" wrapText="1"/>
    </xf>
    <xf numFmtId="0" fontId="11" fillId="38" borderId="12" xfId="0" applyFont="1" applyFill="1" applyBorder="1" applyAlignment="1">
      <alignment horizontal="left" vertical="top"/>
    </xf>
    <xf numFmtId="0" fontId="11" fillId="38" borderId="30" xfId="0" applyFont="1" applyFill="1" applyBorder="1" applyAlignment="1">
      <alignment horizontal="left" vertical="top"/>
    </xf>
    <xf numFmtId="0" fontId="11" fillId="38" borderId="18" xfId="0" applyFont="1" applyFill="1" applyBorder="1" applyAlignment="1">
      <alignment horizontal="left" vertical="top"/>
    </xf>
    <xf numFmtId="184" fontId="9" fillId="40" borderId="14" xfId="61" applyNumberFormat="1" applyFont="1" applyFill="1" applyBorder="1" applyAlignment="1">
      <alignment horizontal="center" vertical="top" textRotation="90" wrapText="1" readingOrder="1"/>
    </xf>
    <xf numFmtId="184" fontId="9" fillId="40" borderId="16" xfId="61" applyNumberFormat="1" applyFont="1" applyFill="1" applyBorder="1" applyAlignment="1">
      <alignment horizontal="center" vertical="top" textRotation="90" wrapText="1" readingOrder="1"/>
    </xf>
    <xf numFmtId="0" fontId="9" fillId="12" borderId="16" xfId="0" applyFont="1" applyFill="1" applyBorder="1" applyAlignment="1">
      <alignment horizontal="left" vertical="top" wrapText="1"/>
    </xf>
    <xf numFmtId="0" fontId="9" fillId="12" borderId="14" xfId="0" applyFont="1" applyFill="1" applyBorder="1" applyAlignment="1">
      <alignment horizontal="left" vertical="top" wrapText="1"/>
    </xf>
    <xf numFmtId="0" fontId="9" fillId="12" borderId="15" xfId="0" applyFont="1" applyFill="1" applyBorder="1" applyAlignment="1">
      <alignment horizontal="left" vertical="top" wrapText="1"/>
    </xf>
    <xf numFmtId="17" fontId="9" fillId="12" borderId="14" xfId="0" applyNumberFormat="1" applyFont="1" applyFill="1" applyBorder="1" applyAlignment="1">
      <alignment horizontal="left" vertical="top" wrapText="1"/>
    </xf>
    <xf numFmtId="184" fontId="9" fillId="12" borderId="25" xfId="61" applyNumberFormat="1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center"/>
    </xf>
    <xf numFmtId="184" fontId="11" fillId="38" borderId="10" xfId="61" applyNumberFormat="1" applyFont="1" applyFill="1" applyBorder="1" applyAlignment="1">
      <alignment horizontal="center"/>
    </xf>
    <xf numFmtId="184" fontId="9" fillId="12" borderId="15" xfId="61" applyNumberFormat="1" applyFont="1" applyFill="1" applyBorder="1" applyAlignment="1">
      <alignment horizontal="left" vertical="top" wrapText="1"/>
    </xf>
    <xf numFmtId="17" fontId="9" fillId="0" borderId="14" xfId="0" applyNumberFormat="1" applyFont="1" applyFill="1" applyBorder="1" applyAlignment="1">
      <alignment horizontal="left" vertical="top" wrapText="1"/>
    </xf>
    <xf numFmtId="184" fontId="9" fillId="0" borderId="14" xfId="61" applyNumberFormat="1" applyFont="1" applyBorder="1" applyAlignment="1">
      <alignment horizontal="center" vertical="top" textRotation="90" wrapText="1"/>
    </xf>
    <xf numFmtId="1" fontId="9" fillId="0" borderId="14" xfId="0" applyNumberFormat="1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left" vertical="top" wrapText="1"/>
    </xf>
    <xf numFmtId="1" fontId="9" fillId="0" borderId="16" xfId="0" applyNumberFormat="1" applyFont="1" applyFill="1" applyBorder="1" applyAlignment="1">
      <alignment horizontal="left" vertical="top" wrapText="1"/>
    </xf>
    <xf numFmtId="0" fontId="9" fillId="12" borderId="14" xfId="0" applyFont="1" applyFill="1" applyBorder="1" applyAlignment="1">
      <alignment horizontal="center" vertical="top" textRotation="90" wrapText="1"/>
    </xf>
    <xf numFmtId="0" fontId="9" fillId="12" borderId="16" xfId="0" applyFont="1" applyFill="1" applyBorder="1" applyAlignment="1">
      <alignment horizontal="center" vertical="top" textRotation="90" wrapText="1"/>
    </xf>
    <xf numFmtId="15" fontId="9" fillId="12" borderId="14" xfId="0" applyNumberFormat="1" applyFont="1" applyFill="1" applyBorder="1" applyAlignment="1">
      <alignment horizontal="center" vertical="top" wrapText="1"/>
    </xf>
    <xf numFmtId="184" fontId="9" fillId="12" borderId="14" xfId="61" applyNumberFormat="1" applyFont="1" applyFill="1" applyBorder="1" applyAlignment="1">
      <alignment horizontal="center" vertical="top" textRotation="90" wrapText="1"/>
    </xf>
    <xf numFmtId="184" fontId="9" fillId="12" borderId="16" xfId="61" applyNumberFormat="1" applyFont="1" applyFill="1" applyBorder="1" applyAlignment="1">
      <alignment horizontal="center" vertical="top" textRotation="90" wrapText="1"/>
    </xf>
    <xf numFmtId="184" fontId="9" fillId="0" borderId="15" xfId="61" applyNumberFormat="1" applyFont="1" applyBorder="1" applyAlignment="1">
      <alignment horizontal="center" vertical="top" textRotation="90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84" fontId="11" fillId="35" borderId="10" xfId="61" applyNumberFormat="1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left" vertical="top" wrapText="1"/>
    </xf>
    <xf numFmtId="0" fontId="16" fillId="38" borderId="30" xfId="0" applyFont="1" applyFill="1" applyBorder="1" applyAlignment="1">
      <alignment horizontal="left" vertical="top" wrapText="1"/>
    </xf>
    <xf numFmtId="0" fontId="16" fillId="38" borderId="18" xfId="0" applyFont="1" applyFill="1" applyBorder="1" applyAlignment="1">
      <alignment horizontal="left" vertical="top" wrapText="1"/>
    </xf>
    <xf numFmtId="0" fontId="16" fillId="38" borderId="24" xfId="0" applyFont="1" applyFill="1" applyBorder="1" applyAlignment="1">
      <alignment horizontal="left" vertical="top" wrapText="1"/>
    </xf>
    <xf numFmtId="0" fontId="16" fillId="38" borderId="13" xfId="0" applyFont="1" applyFill="1" applyBorder="1" applyAlignment="1">
      <alignment horizontal="left" vertical="top" wrapText="1"/>
    </xf>
    <xf numFmtId="0" fontId="16" fillId="38" borderId="31" xfId="0" applyFont="1" applyFill="1" applyBorder="1" applyAlignment="1">
      <alignment horizontal="left" vertical="top" wrapText="1"/>
    </xf>
    <xf numFmtId="0" fontId="16" fillId="38" borderId="25" xfId="0" applyFont="1" applyFill="1" applyBorder="1" applyAlignment="1">
      <alignment horizontal="left" vertical="top" wrapText="1"/>
    </xf>
    <xf numFmtId="0" fontId="16" fillId="38" borderId="0" xfId="0" applyFont="1" applyFill="1" applyBorder="1" applyAlignment="1">
      <alignment horizontal="left" vertical="top" wrapText="1"/>
    </xf>
    <xf numFmtId="0" fontId="16" fillId="38" borderId="23" xfId="0" applyFont="1" applyFill="1" applyBorder="1" applyAlignment="1">
      <alignment horizontal="left" vertical="top" wrapText="1"/>
    </xf>
    <xf numFmtId="0" fontId="16" fillId="38" borderId="12" xfId="39" applyFont="1" applyFill="1" applyBorder="1" applyAlignment="1">
      <alignment horizontal="left" vertical="top"/>
      <protection/>
    </xf>
    <xf numFmtId="0" fontId="16" fillId="38" borderId="30" xfId="39" applyFont="1" applyFill="1" applyBorder="1" applyAlignment="1">
      <alignment horizontal="left" vertical="top"/>
      <protection/>
    </xf>
    <xf numFmtId="0" fontId="16" fillId="38" borderId="12" xfId="0" applyFont="1" applyFill="1" applyBorder="1" applyAlignment="1">
      <alignment horizontal="left" vertical="center" wrapText="1"/>
    </xf>
    <xf numFmtId="0" fontId="16" fillId="38" borderId="30" xfId="0" applyFont="1" applyFill="1" applyBorder="1" applyAlignment="1">
      <alignment horizontal="left" vertical="center" wrapText="1"/>
    </xf>
    <xf numFmtId="184" fontId="105" fillId="0" borderId="14" xfId="61" applyNumberFormat="1" applyFont="1" applyFill="1" applyBorder="1" applyAlignment="1">
      <alignment horizontal="center" vertical="center" textRotation="90" wrapText="1"/>
    </xf>
    <xf numFmtId="184" fontId="105" fillId="0" borderId="16" xfId="61" applyNumberFormat="1" applyFont="1" applyFill="1" applyBorder="1" applyAlignment="1">
      <alignment horizontal="center" vertical="center" textRotation="90" wrapText="1"/>
    </xf>
    <xf numFmtId="184" fontId="105" fillId="0" borderId="15" xfId="61" applyNumberFormat="1" applyFont="1" applyFill="1" applyBorder="1" applyAlignment="1">
      <alignment horizontal="center" vertical="center" textRotation="90" wrapText="1"/>
    </xf>
    <xf numFmtId="0" fontId="105" fillId="0" borderId="14" xfId="0" applyFont="1" applyBorder="1" applyAlignment="1">
      <alignment vertical="top" wrapText="1"/>
    </xf>
    <xf numFmtId="0" fontId="105" fillId="0" borderId="16" xfId="0" applyFont="1" applyBorder="1" applyAlignment="1">
      <alignment vertical="top" wrapText="1"/>
    </xf>
    <xf numFmtId="0" fontId="105" fillId="0" borderId="15" xfId="0" applyFont="1" applyBorder="1" applyAlignment="1">
      <alignment vertical="top" wrapText="1"/>
    </xf>
    <xf numFmtId="0" fontId="17" fillId="0" borderId="14" xfId="39" applyFont="1" applyBorder="1" applyAlignment="1">
      <alignment horizontal="left" vertical="top" wrapText="1"/>
      <protection/>
    </xf>
    <xf numFmtId="0" fontId="17" fillId="0" borderId="16" xfId="39" applyFont="1" applyBorder="1" applyAlignment="1">
      <alignment horizontal="left" vertical="top" wrapText="1"/>
      <protection/>
    </xf>
    <xf numFmtId="0" fontId="17" fillId="0" borderId="15" xfId="39" applyFont="1" applyBorder="1" applyAlignment="1">
      <alignment horizontal="left" vertical="top" wrapText="1"/>
      <protection/>
    </xf>
    <xf numFmtId="0" fontId="107" fillId="0" borderId="16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top" textRotation="90" wrapText="1"/>
    </xf>
    <xf numFmtId="0" fontId="107" fillId="0" borderId="16" xfId="0" applyFont="1" applyBorder="1" applyAlignment="1">
      <alignment horizontal="center" vertical="top" textRotation="90" wrapText="1"/>
    </xf>
    <xf numFmtId="184" fontId="105" fillId="0" borderId="14" xfId="61" applyNumberFormat="1" applyFont="1" applyBorder="1" applyAlignment="1">
      <alignment horizontal="center" vertical="center" textRotation="90" wrapText="1"/>
    </xf>
    <xf numFmtId="184" fontId="105" fillId="0" borderId="16" xfId="61" applyNumberFormat="1" applyFont="1" applyBorder="1" applyAlignment="1">
      <alignment horizontal="center" vertical="center" textRotation="90" wrapText="1"/>
    </xf>
    <xf numFmtId="0" fontId="107" fillId="13" borderId="30" xfId="0" applyFont="1" applyFill="1" applyBorder="1" applyAlignment="1">
      <alignment horizontal="left" vertical="center" wrapText="1"/>
    </xf>
    <xf numFmtId="0" fontId="107" fillId="13" borderId="18" xfId="0" applyFont="1" applyFill="1" applyBorder="1" applyAlignment="1">
      <alignment horizontal="left" vertical="center" wrapText="1"/>
    </xf>
    <xf numFmtId="0" fontId="105" fillId="0" borderId="14" xfId="39" applyFont="1" applyBorder="1" applyAlignment="1">
      <alignment horizontal="left" vertical="top" wrapText="1"/>
      <protection/>
    </xf>
    <xf numFmtId="0" fontId="105" fillId="0" borderId="16" xfId="39" applyFont="1" applyBorder="1" applyAlignment="1">
      <alignment horizontal="left" vertical="top" wrapText="1"/>
      <protection/>
    </xf>
    <xf numFmtId="0" fontId="105" fillId="0" borderId="31" xfId="0" applyFont="1" applyBorder="1" applyAlignment="1">
      <alignment horizontal="center" vertical="top" wrapText="1"/>
    </xf>
    <xf numFmtId="0" fontId="105" fillId="0" borderId="23" xfId="0" applyFont="1" applyBorder="1" applyAlignment="1">
      <alignment horizontal="center" vertical="top" wrapText="1"/>
    </xf>
    <xf numFmtId="0" fontId="107" fillId="2" borderId="10" xfId="0" applyFont="1" applyFill="1" applyBorder="1" applyAlignment="1">
      <alignment horizontal="center" vertical="center" wrapText="1"/>
    </xf>
    <xf numFmtId="0" fontId="107" fillId="2" borderId="12" xfId="0" applyFont="1" applyFill="1" applyBorder="1" applyAlignment="1">
      <alignment horizontal="center" vertical="center" wrapText="1"/>
    </xf>
    <xf numFmtId="0" fontId="107" fillId="2" borderId="30" xfId="0" applyFont="1" applyFill="1" applyBorder="1" applyAlignment="1">
      <alignment horizontal="center" vertical="center" wrapText="1"/>
    </xf>
    <xf numFmtId="0" fontId="107" fillId="2" borderId="18" xfId="0" applyFont="1" applyFill="1" applyBorder="1" applyAlignment="1">
      <alignment horizontal="center" vertical="center" wrapText="1"/>
    </xf>
    <xf numFmtId="0" fontId="107" fillId="2" borderId="14" xfId="0" applyFont="1" applyFill="1" applyBorder="1" applyAlignment="1">
      <alignment horizontal="center" vertical="center" wrapText="1"/>
    </xf>
    <xf numFmtId="0" fontId="107" fillId="2" borderId="16" xfId="0" applyFont="1" applyFill="1" applyBorder="1" applyAlignment="1">
      <alignment horizontal="center" vertical="center" wrapText="1"/>
    </xf>
    <xf numFmtId="0" fontId="107" fillId="2" borderId="15" xfId="0" applyFont="1" applyFill="1" applyBorder="1" applyAlignment="1">
      <alignment horizontal="center" vertical="center" wrapText="1"/>
    </xf>
    <xf numFmtId="0" fontId="95" fillId="10" borderId="10" xfId="0" applyFont="1" applyFill="1" applyBorder="1" applyAlignment="1">
      <alignment horizontal="center" vertical="top"/>
    </xf>
    <xf numFmtId="0" fontId="95" fillId="33" borderId="10" xfId="0" applyFont="1" applyFill="1" applyBorder="1" applyAlignment="1">
      <alignment horizontal="center" vertical="center"/>
    </xf>
    <xf numFmtId="0" fontId="95" fillId="12" borderId="10" xfId="0" applyFont="1" applyFill="1" applyBorder="1" applyAlignment="1">
      <alignment horizontal="center" vertical="top"/>
    </xf>
    <xf numFmtId="0" fontId="95" fillId="13" borderId="10" xfId="0" applyFont="1" applyFill="1" applyBorder="1" applyAlignment="1">
      <alignment horizontal="center" vertical="center"/>
    </xf>
    <xf numFmtId="43" fontId="136" fillId="0" borderId="0" xfId="0" applyNumberFormat="1" applyFont="1" applyFill="1" applyAlignment="1">
      <alignment/>
    </xf>
    <xf numFmtId="43" fontId="136" fillId="0" borderId="0" xfId="61" applyFont="1" applyFill="1" applyAlignment="1">
      <alignment/>
    </xf>
  </cellXfs>
  <cellStyles count="8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Comma 4" xfId="36"/>
    <cellStyle name="Followed Hyperlink" xfId="37"/>
    <cellStyle name="Hyperlink" xfId="38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3 3" xfId="45"/>
    <cellStyle name="Normal 7" xfId="46"/>
    <cellStyle name="การคำนวณ" xfId="47"/>
    <cellStyle name="ข้อความเตือน" xfId="48"/>
    <cellStyle name="ข้อความอธิบาย" xfId="49"/>
    <cellStyle name="เครื่องหมายจุลภาค 10" xfId="50"/>
    <cellStyle name="เครื่องหมายจุลภาค 2" xfId="51"/>
    <cellStyle name="เครื่องหมายจุลภาค 2 2" xfId="52"/>
    <cellStyle name="เครื่องหมายจุลภาค 3" xfId="53"/>
    <cellStyle name="เครื่องหมายจุลภาค 4" xfId="54"/>
    <cellStyle name="เครื่องหมายจุลภาค 5" xfId="55"/>
    <cellStyle name="เครื่องหมายจุลภาค 6" xfId="56"/>
    <cellStyle name="เครื่องหมายจุลภาค 7" xfId="57"/>
    <cellStyle name="เครื่องหมายจุลภาค 7 2" xfId="58"/>
    <cellStyle name="เครื่องหมายจุลภาค 8" xfId="59"/>
    <cellStyle name="เครื่องหมายจุลภาค 9" xfId="60"/>
    <cellStyle name="Comma" xfId="61"/>
    <cellStyle name="Comma [0]" xfId="62"/>
    <cellStyle name="จุลภาค 2" xfId="63"/>
    <cellStyle name="ชื่อเรื่อง" xfId="64"/>
    <cellStyle name="เซลล์ตรวจสอบ" xfId="65"/>
    <cellStyle name="เซลล์ที่มีลิงก์" xfId="66"/>
    <cellStyle name="ดี" xfId="67"/>
    <cellStyle name="ปกติ 2" xfId="68"/>
    <cellStyle name="ปกติ 2 2" xfId="69"/>
    <cellStyle name="ปกติ 2 3" xfId="70"/>
    <cellStyle name="ปกติ 2 3 2" xfId="71"/>
    <cellStyle name="ปกติ 2 3 3" xfId="72"/>
    <cellStyle name="ปกติ 3" xfId="73"/>
    <cellStyle name="ปกติ 3 2" xfId="74"/>
    <cellStyle name="ปกติ 4" xfId="75"/>
    <cellStyle name="ปกติ 5" xfId="76"/>
    <cellStyle name="ปกติ 5 2" xfId="77"/>
    <cellStyle name="ปกติ 6" xfId="78"/>
    <cellStyle name="ปกติ 7" xfId="79"/>
    <cellStyle name="ปกติ 8" xfId="80"/>
    <cellStyle name="ป้อนค่า" xfId="81"/>
    <cellStyle name="ปานกลาง" xfId="82"/>
    <cellStyle name="Percent" xfId="83"/>
    <cellStyle name="เปอร์เซ็นต์ 2" xfId="84"/>
    <cellStyle name="เปอร์เซ็นต์ 2 2" xfId="85"/>
    <cellStyle name="ผลรวม" xfId="86"/>
    <cellStyle name="แย่" xfId="87"/>
    <cellStyle name="Currency" xfId="88"/>
    <cellStyle name="Currency [0]" xfId="89"/>
    <cellStyle name="ส่วนที่ถูกเน้น1" xfId="90"/>
    <cellStyle name="ส่วนที่ถูกเน้น2" xfId="91"/>
    <cellStyle name="ส่วนที่ถูกเน้น3" xfId="92"/>
    <cellStyle name="ส่วนที่ถูกเน้น4" xfId="93"/>
    <cellStyle name="ส่วนที่ถูกเน้น5" xfId="94"/>
    <cellStyle name="ส่วนที่ถูกเน้น6" xfId="95"/>
    <cellStyle name="แสดงผล" xfId="96"/>
    <cellStyle name="หมายเหตุ" xfId="97"/>
    <cellStyle name="หัวเรื่อง 1" xfId="98"/>
    <cellStyle name="หัวเรื่อง 2" xfId="99"/>
    <cellStyle name="หัวเรื่อง 3" xfId="100"/>
    <cellStyle name="หัวเรื่อง 4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zoomScaleSheetLayoutView="12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" sqref="C12"/>
    </sheetView>
  </sheetViews>
  <sheetFormatPr defaultColWidth="9.00390625" defaultRowHeight="15"/>
  <cols>
    <col min="1" max="1" width="4.8515625" style="742" bestFit="1" customWidth="1"/>
    <col min="2" max="2" width="13.421875" style="145" bestFit="1" customWidth="1"/>
    <col min="3" max="3" width="10.57421875" style="743" bestFit="1" customWidth="1"/>
    <col min="4" max="5" width="11.8515625" style="145" bestFit="1" customWidth="1"/>
    <col min="6" max="6" width="10.57421875" style="743" bestFit="1" customWidth="1"/>
    <col min="7" max="7" width="10.57421875" style="145" bestFit="1" customWidth="1"/>
    <col min="8" max="8" width="11.8515625" style="145" bestFit="1" customWidth="1"/>
    <col min="9" max="9" width="10.57421875" style="145" bestFit="1" customWidth="1"/>
    <col min="10" max="11" width="11.8515625" style="145" bestFit="1" customWidth="1"/>
    <col min="12" max="12" width="12.8515625" style="145" bestFit="1" customWidth="1"/>
    <col min="13" max="13" width="6.57421875" style="145" bestFit="1" customWidth="1"/>
    <col min="14" max="14" width="7.140625" style="145" bestFit="1" customWidth="1"/>
    <col min="15" max="15" width="10.57421875" style="145" bestFit="1" customWidth="1"/>
    <col min="16" max="16" width="9.421875" style="145" bestFit="1" customWidth="1"/>
    <col min="17" max="20" width="10.57421875" style="145" bestFit="1" customWidth="1"/>
    <col min="21" max="21" width="8.140625" style="145" bestFit="1" customWidth="1"/>
    <col min="22" max="23" width="10.57421875" style="145" bestFit="1" customWidth="1"/>
    <col min="24" max="24" width="9.421875" style="145" bestFit="1" customWidth="1"/>
    <col min="25" max="25" width="8.140625" style="145" bestFit="1" customWidth="1"/>
    <col min="26" max="26" width="10.421875" style="145" bestFit="1" customWidth="1"/>
    <col min="27" max="27" width="10.57421875" style="145" bestFit="1" customWidth="1"/>
    <col min="28" max="31" width="9.421875" style="145" bestFit="1" customWidth="1"/>
    <col min="32" max="32" width="8.421875" style="145" bestFit="1" customWidth="1"/>
    <col min="33" max="33" width="7.00390625" style="145" bestFit="1" customWidth="1"/>
    <col min="34" max="34" width="10.421875" style="145" bestFit="1" customWidth="1"/>
    <col min="35" max="35" width="10.57421875" style="145" bestFit="1" customWidth="1"/>
    <col min="36" max="36" width="10.57421875" style="743" bestFit="1" customWidth="1"/>
    <col min="37" max="16384" width="9.00390625" style="145" customWidth="1"/>
  </cols>
  <sheetData>
    <row r="1" spans="1:11" ht="20.25">
      <c r="A1" s="1214" t="s">
        <v>446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</row>
    <row r="2" spans="1:36" s="700" customFormat="1" ht="18.75">
      <c r="A2" s="1215" t="s">
        <v>0</v>
      </c>
      <c r="B2" s="1215" t="s">
        <v>1</v>
      </c>
      <c r="C2" s="1216" t="s">
        <v>2</v>
      </c>
      <c r="D2" s="1216"/>
      <c r="E2" s="1216"/>
      <c r="F2" s="1217" t="s">
        <v>3</v>
      </c>
      <c r="G2" s="1217"/>
      <c r="H2" s="1217"/>
      <c r="I2" s="1218" t="s">
        <v>4</v>
      </c>
      <c r="J2" s="1219"/>
      <c r="K2" s="1220"/>
      <c r="L2" s="1213" t="s">
        <v>5</v>
      </c>
      <c r="M2" s="1213"/>
      <c r="N2" s="1213"/>
      <c r="O2" s="1213"/>
      <c r="P2" s="1213"/>
      <c r="Q2" s="1213"/>
      <c r="R2" s="1213"/>
      <c r="S2" s="1213"/>
      <c r="T2" s="1213"/>
      <c r="U2" s="1213" t="s">
        <v>6</v>
      </c>
      <c r="V2" s="1213"/>
      <c r="W2" s="1213"/>
      <c r="X2" s="1213"/>
      <c r="Y2" s="1213"/>
      <c r="Z2" s="1213"/>
      <c r="AA2" s="1213"/>
      <c r="AB2" s="1213"/>
      <c r="AC2" s="1213"/>
      <c r="AD2" s="1213"/>
      <c r="AE2" s="1213"/>
      <c r="AF2" s="1213"/>
      <c r="AG2" s="1213"/>
      <c r="AH2" s="1213"/>
      <c r="AI2" s="1213"/>
      <c r="AJ2" s="1033"/>
    </row>
    <row r="3" spans="1:36" s="710" customFormat="1" ht="93.75">
      <c r="A3" s="1215"/>
      <c r="B3" s="1215"/>
      <c r="C3" s="701" t="s">
        <v>33</v>
      </c>
      <c r="D3" s="702" t="s">
        <v>7</v>
      </c>
      <c r="E3" s="703" t="s">
        <v>4</v>
      </c>
      <c r="F3" s="704" t="s">
        <v>33</v>
      </c>
      <c r="G3" s="705" t="s">
        <v>7</v>
      </c>
      <c r="H3" s="706" t="s">
        <v>4</v>
      </c>
      <c r="I3" s="707" t="s">
        <v>8</v>
      </c>
      <c r="J3" s="707" t="s">
        <v>7</v>
      </c>
      <c r="K3" s="708" t="s">
        <v>4</v>
      </c>
      <c r="L3" s="385" t="s">
        <v>649</v>
      </c>
      <c r="M3" s="385" t="s">
        <v>1517</v>
      </c>
      <c r="N3" s="385" t="s">
        <v>650</v>
      </c>
      <c r="O3" s="385" t="s">
        <v>1318</v>
      </c>
      <c r="P3" s="385" t="s">
        <v>9</v>
      </c>
      <c r="Q3" s="385" t="s">
        <v>10</v>
      </c>
      <c r="R3" s="385" t="s">
        <v>32</v>
      </c>
      <c r="S3" s="385" t="s">
        <v>31</v>
      </c>
      <c r="T3" s="709" t="s">
        <v>4</v>
      </c>
      <c r="U3" s="385" t="s">
        <v>11</v>
      </c>
      <c r="V3" s="385" t="s">
        <v>721</v>
      </c>
      <c r="W3" s="385" t="s">
        <v>909</v>
      </c>
      <c r="X3" s="385" t="s">
        <v>1000</v>
      </c>
      <c r="Y3" s="385" t="s">
        <v>650</v>
      </c>
      <c r="Z3" s="385" t="s">
        <v>1421</v>
      </c>
      <c r="AA3" s="385" t="s">
        <v>12</v>
      </c>
      <c r="AB3" s="385" t="s">
        <v>13</v>
      </c>
      <c r="AC3" s="385" t="s">
        <v>14</v>
      </c>
      <c r="AD3" s="385" t="s">
        <v>15</v>
      </c>
      <c r="AE3" s="385" t="s">
        <v>518</v>
      </c>
      <c r="AF3" s="385" t="s">
        <v>1423</v>
      </c>
      <c r="AG3" s="385" t="s">
        <v>16</v>
      </c>
      <c r="AH3" s="385" t="s">
        <v>32</v>
      </c>
      <c r="AI3" s="709" t="s">
        <v>4</v>
      </c>
      <c r="AJ3" s="1035" t="s">
        <v>1459</v>
      </c>
    </row>
    <row r="4" spans="1:36" ht="18.75">
      <c r="A4" s="711">
        <v>1</v>
      </c>
      <c r="B4" s="712" t="s">
        <v>17</v>
      </c>
      <c r="C4" s="713">
        <v>0</v>
      </c>
      <c r="D4" s="713">
        <v>0</v>
      </c>
      <c r="E4" s="714">
        <f>SUM(C4:D4)</f>
        <v>0</v>
      </c>
      <c r="F4" s="715">
        <f>'1-บริหาร(1)'!F41</f>
        <v>93000</v>
      </c>
      <c r="G4" s="716">
        <v>0</v>
      </c>
      <c r="H4" s="717">
        <f>SUM(F4:G4)</f>
        <v>93000</v>
      </c>
      <c r="I4" s="718">
        <f>SUM(C4,F4)</f>
        <v>93000</v>
      </c>
      <c r="J4" s="718">
        <f>SUM(D4,G4)</f>
        <v>0</v>
      </c>
      <c r="K4" s="719">
        <f>SUM(H4,E4)</f>
        <v>93000</v>
      </c>
      <c r="L4" s="720"/>
      <c r="M4" s="720"/>
      <c r="N4" s="720"/>
      <c r="O4" s="720"/>
      <c r="P4" s="720"/>
      <c r="Q4" s="720"/>
      <c r="R4" s="720"/>
      <c r="S4" s="720"/>
      <c r="T4" s="721">
        <f>SUM(L4:S4)</f>
        <v>0</v>
      </c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1">
        <f>SUM(U4:AH4)</f>
        <v>0</v>
      </c>
      <c r="AJ4" s="743">
        <v>48300</v>
      </c>
    </row>
    <row r="5" spans="1:35" ht="18.75">
      <c r="A5" s="722">
        <v>2</v>
      </c>
      <c r="B5" s="723" t="s">
        <v>18</v>
      </c>
      <c r="C5" s="724" t="e">
        <f>#REF!+#REF!</f>
        <v>#REF!</v>
      </c>
      <c r="D5" s="724" t="e">
        <f>#REF!</f>
        <v>#REF!</v>
      </c>
      <c r="E5" s="725" t="e">
        <f aca="true" t="shared" si="0" ref="E5:E17">SUM(C5:D5)</f>
        <v>#REF!</v>
      </c>
      <c r="F5" s="715">
        <f>'2-พยส(1)'!F48</f>
        <v>368480</v>
      </c>
      <c r="G5" s="726">
        <v>0</v>
      </c>
      <c r="H5" s="717">
        <f aca="true" t="shared" si="1" ref="H5:H17">SUM(F5:G5)</f>
        <v>368480</v>
      </c>
      <c r="I5" s="718" t="e">
        <f aca="true" t="shared" si="2" ref="I5:I17">SUM(C5,F5)</f>
        <v>#REF!</v>
      </c>
      <c r="J5" s="718" t="e">
        <f aca="true" t="shared" si="3" ref="J5:J17">SUM(D5,G5)</f>
        <v>#REF!</v>
      </c>
      <c r="K5" s="719" t="e">
        <f aca="true" t="shared" si="4" ref="K5:K17">SUM(H5,E5)</f>
        <v>#REF!</v>
      </c>
      <c r="L5" s="727" t="e">
        <f>#REF!</f>
        <v>#REF!</v>
      </c>
      <c r="M5" s="727"/>
      <c r="N5" s="728"/>
      <c r="O5" s="728"/>
      <c r="P5" s="728"/>
      <c r="Q5" s="728"/>
      <c r="R5" s="728"/>
      <c r="S5" s="728"/>
      <c r="T5" s="721" t="e">
        <f aca="true" t="shared" si="5" ref="T5:T17">SUM(L5:S5)</f>
        <v>#REF!</v>
      </c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1">
        <f aca="true" t="shared" si="6" ref="AI5:AI17">SUM(U5:AH5)</f>
        <v>0</v>
      </c>
    </row>
    <row r="6" spans="1:36" ht="18.75">
      <c r="A6" s="722">
        <v>3</v>
      </c>
      <c r="B6" s="723" t="s">
        <v>19</v>
      </c>
      <c r="C6" s="724" t="e">
        <f>#REF!+#REF!</f>
        <v>#REF!</v>
      </c>
      <c r="D6" s="724" t="e">
        <f>#REF!</f>
        <v>#REF!</v>
      </c>
      <c r="E6" s="725" t="e">
        <f t="shared" si="0"/>
        <v>#REF!</v>
      </c>
      <c r="F6" s="715">
        <f>'3-ทรัพฯ(1)'!F19</f>
        <v>68600</v>
      </c>
      <c r="G6" s="726">
        <v>0</v>
      </c>
      <c r="H6" s="717">
        <f t="shared" si="1"/>
        <v>68600</v>
      </c>
      <c r="I6" s="718" t="e">
        <f t="shared" si="2"/>
        <v>#REF!</v>
      </c>
      <c r="J6" s="718" t="e">
        <f t="shared" si="3"/>
        <v>#REF!</v>
      </c>
      <c r="K6" s="719" t="e">
        <f t="shared" si="4"/>
        <v>#REF!</v>
      </c>
      <c r="L6" s="720"/>
      <c r="M6" s="720" t="e">
        <f>#REF!</f>
        <v>#REF!</v>
      </c>
      <c r="N6" s="720"/>
      <c r="O6" s="720"/>
      <c r="P6" s="729"/>
      <c r="Q6" s="720"/>
      <c r="R6" s="720"/>
      <c r="S6" s="720"/>
      <c r="T6" s="721" t="e">
        <f t="shared" si="5"/>
        <v>#REF!</v>
      </c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1">
        <f t="shared" si="6"/>
        <v>0</v>
      </c>
      <c r="AJ6" s="743">
        <v>46600</v>
      </c>
    </row>
    <row r="7" spans="1:35" ht="18.75">
      <c r="A7" s="722">
        <v>4</v>
      </c>
      <c r="B7" s="723" t="s">
        <v>20</v>
      </c>
      <c r="C7" s="724" t="e">
        <f>#REF!</f>
        <v>#REF!</v>
      </c>
      <c r="D7" s="730">
        <v>0</v>
      </c>
      <c r="E7" s="725" t="e">
        <f>SUM(C7:D7)</f>
        <v>#REF!</v>
      </c>
      <c r="F7" s="715">
        <f>'4-นิติการ(1)'!F57</f>
        <v>13200</v>
      </c>
      <c r="G7" s="715">
        <f>'4-นิติการ(1)'!F56</f>
        <v>66000</v>
      </c>
      <c r="H7" s="717">
        <f>SUM(F7:G7)</f>
        <v>79200</v>
      </c>
      <c r="I7" s="718" t="e">
        <f t="shared" si="2"/>
        <v>#REF!</v>
      </c>
      <c r="J7" s="718">
        <f t="shared" si="3"/>
        <v>66000</v>
      </c>
      <c r="K7" s="719" t="e">
        <f t="shared" si="4"/>
        <v>#REF!</v>
      </c>
      <c r="L7" s="720"/>
      <c r="M7" s="720"/>
      <c r="N7" s="720"/>
      <c r="O7" s="720"/>
      <c r="P7" s="720"/>
      <c r="Q7" s="720"/>
      <c r="R7" s="720"/>
      <c r="S7" s="720"/>
      <c r="T7" s="721">
        <f t="shared" si="5"/>
        <v>0</v>
      </c>
      <c r="U7" s="731">
        <v>66000</v>
      </c>
      <c r="V7" s="729"/>
      <c r="W7" s="729"/>
      <c r="X7" s="729"/>
      <c r="Y7" s="729"/>
      <c r="Z7" s="720"/>
      <c r="AA7" s="720"/>
      <c r="AB7" s="720"/>
      <c r="AC7" s="720"/>
      <c r="AD7" s="720"/>
      <c r="AE7" s="720"/>
      <c r="AF7" s="720"/>
      <c r="AG7" s="720"/>
      <c r="AH7" s="720"/>
      <c r="AI7" s="721">
        <f t="shared" si="6"/>
        <v>66000</v>
      </c>
    </row>
    <row r="8" spans="1:36" ht="18.75">
      <c r="A8" s="722">
        <v>5</v>
      </c>
      <c r="B8" s="723" t="s">
        <v>21</v>
      </c>
      <c r="C8" s="732" t="e">
        <f>#REF!+#REF!</f>
        <v>#REF!</v>
      </c>
      <c r="D8" s="730">
        <v>0</v>
      </c>
      <c r="E8" s="725" t="e">
        <f t="shared" si="0"/>
        <v>#REF!</v>
      </c>
      <c r="F8" s="918">
        <f>'5-คุ้มครอง(1)'!E105</f>
        <v>150000</v>
      </c>
      <c r="G8" s="726">
        <f>'5-คุ้มครอง(1)'!E106+'5-คุ้มครอง(1)'!E107</f>
        <v>391750</v>
      </c>
      <c r="H8" s="717">
        <f>SUM(F8:G8)</f>
        <v>541750</v>
      </c>
      <c r="I8" s="718" t="e">
        <f t="shared" si="2"/>
        <v>#REF!</v>
      </c>
      <c r="J8" s="718">
        <f t="shared" si="3"/>
        <v>391750</v>
      </c>
      <c r="K8" s="719" t="e">
        <f t="shared" si="4"/>
        <v>#REF!</v>
      </c>
      <c r="L8" s="720"/>
      <c r="M8" s="720"/>
      <c r="N8" s="720"/>
      <c r="O8" s="720"/>
      <c r="P8" s="720"/>
      <c r="Q8" s="720"/>
      <c r="R8" s="720"/>
      <c r="S8" s="720"/>
      <c r="T8" s="721">
        <f t="shared" si="5"/>
        <v>0</v>
      </c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8">
        <f>'5-คุ้มครอง(1)'!E106</f>
        <v>375750</v>
      </c>
      <c r="AF8" s="728">
        <f>'5-คุ้มครอง(1)'!E107</f>
        <v>16000</v>
      </c>
      <c r="AG8" s="720"/>
      <c r="AH8" s="720"/>
      <c r="AI8" s="721">
        <f t="shared" si="6"/>
        <v>391750</v>
      </c>
      <c r="AJ8" s="743">
        <v>202740</v>
      </c>
    </row>
    <row r="9" spans="1:36" ht="18.75">
      <c r="A9" s="722">
        <v>6</v>
      </c>
      <c r="B9" s="723" t="s">
        <v>22</v>
      </c>
      <c r="C9" s="724" t="e">
        <f>#REF!+#REF!</f>
        <v>#REF!</v>
      </c>
      <c r="D9" s="730">
        <v>0</v>
      </c>
      <c r="E9" s="725" t="e">
        <f>SUM(C9:D9)</f>
        <v>#REF!</v>
      </c>
      <c r="F9" s="919">
        <f>'6-คุณภาพ(1)'!F89</f>
        <v>400000</v>
      </c>
      <c r="G9" s="715"/>
      <c r="H9" s="717">
        <f>SUM(F9:G9)</f>
        <v>400000</v>
      </c>
      <c r="I9" s="718" t="e">
        <f t="shared" si="2"/>
        <v>#REF!</v>
      </c>
      <c r="J9" s="718">
        <f t="shared" si="3"/>
        <v>0</v>
      </c>
      <c r="K9" s="719" t="e">
        <f t="shared" si="4"/>
        <v>#REF!</v>
      </c>
      <c r="L9" s="720"/>
      <c r="M9" s="720"/>
      <c r="N9" s="720"/>
      <c r="O9" s="720"/>
      <c r="P9" s="720"/>
      <c r="Q9" s="720"/>
      <c r="R9" s="720"/>
      <c r="S9" s="720"/>
      <c r="T9" s="721">
        <f t="shared" si="5"/>
        <v>0</v>
      </c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35"/>
      <c r="AF9" s="728"/>
      <c r="AG9" s="720"/>
      <c r="AH9" s="720"/>
      <c r="AI9" s="721">
        <f t="shared" si="6"/>
        <v>0</v>
      </c>
      <c r="AJ9" s="743">
        <v>143430</v>
      </c>
    </row>
    <row r="10" spans="1:36" ht="18.75">
      <c r="A10" s="722">
        <v>7</v>
      </c>
      <c r="B10" s="723" t="s">
        <v>23</v>
      </c>
      <c r="C10" s="724" t="e">
        <f>#REF!</f>
        <v>#REF!</v>
      </c>
      <c r="D10" s="730">
        <v>0</v>
      </c>
      <c r="E10" s="725" t="e">
        <f>SUM(C10:D10)</f>
        <v>#REF!</v>
      </c>
      <c r="F10" s="715">
        <f>'7-ประกัน(1)'!F71</f>
        <v>55040</v>
      </c>
      <c r="G10" s="715">
        <f>'7-ประกัน(1)'!F69+'7-ประกัน(1)'!F70</f>
        <v>54390</v>
      </c>
      <c r="H10" s="717">
        <f>SUM(F10:G10)</f>
        <v>109430</v>
      </c>
      <c r="I10" s="718" t="e">
        <f t="shared" si="2"/>
        <v>#REF!</v>
      </c>
      <c r="J10" s="718">
        <f t="shared" si="3"/>
        <v>54390</v>
      </c>
      <c r="K10" s="719" t="e">
        <f t="shared" si="4"/>
        <v>#REF!</v>
      </c>
      <c r="L10" s="720"/>
      <c r="M10" s="720"/>
      <c r="N10" s="720"/>
      <c r="O10" s="720"/>
      <c r="P10" s="720"/>
      <c r="Q10" s="720"/>
      <c r="R10" s="720"/>
      <c r="S10" s="720"/>
      <c r="T10" s="721">
        <f t="shared" si="5"/>
        <v>0</v>
      </c>
      <c r="U10" s="720"/>
      <c r="V10" s="720"/>
      <c r="W10" s="720"/>
      <c r="X10" s="720"/>
      <c r="Y10" s="731">
        <f>'7-ประกัน(1)'!F70</f>
        <v>29950</v>
      </c>
      <c r="Z10" s="731">
        <v>24440</v>
      </c>
      <c r="AA10" s="720"/>
      <c r="AB10" s="720"/>
      <c r="AC10" s="720"/>
      <c r="AD10" s="720"/>
      <c r="AE10" s="720"/>
      <c r="AF10" s="720"/>
      <c r="AG10" s="720"/>
      <c r="AH10" s="720"/>
      <c r="AI10" s="721">
        <f t="shared" si="6"/>
        <v>54390</v>
      </c>
      <c r="AJ10" s="743">
        <v>127912</v>
      </c>
    </row>
    <row r="11" spans="1:36" ht="18.75">
      <c r="A11" s="722">
        <v>8</v>
      </c>
      <c r="B11" s="723" t="s">
        <v>24</v>
      </c>
      <c r="C11" s="724">
        <v>0</v>
      </c>
      <c r="D11" s="724" t="e">
        <f>#REF!+#REF!</f>
        <v>#REF!</v>
      </c>
      <c r="E11" s="725" t="e">
        <f>SUM(C11:D11)</f>
        <v>#REF!</v>
      </c>
      <c r="F11" s="715">
        <f>'8-ควบคุมโรค(1)'!B128+'8-ควบคุมโรค(1)'!B131</f>
        <v>171640</v>
      </c>
      <c r="G11" s="715">
        <f>'8-ควบคุมโรค(1)'!B126+'8-ควบคุมโรค(1)'!B127+'8-ควบคุมโรค(1)'!B130</f>
        <v>1658000</v>
      </c>
      <c r="H11" s="717">
        <f>SUM(F11:G11)</f>
        <v>1829640</v>
      </c>
      <c r="I11" s="718">
        <f t="shared" si="2"/>
        <v>171640</v>
      </c>
      <c r="J11" s="718" t="e">
        <f t="shared" si="3"/>
        <v>#REF!</v>
      </c>
      <c r="K11" s="719" t="e">
        <f t="shared" si="4"/>
        <v>#REF!</v>
      </c>
      <c r="L11" s="720"/>
      <c r="M11" s="720"/>
      <c r="N11" s="720"/>
      <c r="O11" s="720"/>
      <c r="P11" s="727" t="e">
        <f>#REF!</f>
        <v>#REF!</v>
      </c>
      <c r="Q11" s="731" t="e">
        <f>#REF!</f>
        <v>#REF!</v>
      </c>
      <c r="R11" s="729"/>
      <c r="S11" s="729"/>
      <c r="T11" s="721" t="e">
        <f t="shared" si="5"/>
        <v>#REF!</v>
      </c>
      <c r="U11" s="720"/>
      <c r="V11" s="720"/>
      <c r="W11" s="720"/>
      <c r="X11" s="720"/>
      <c r="Y11" s="720"/>
      <c r="Z11" s="720"/>
      <c r="AA11" s="731">
        <f>'8-ควบคุมโรค(1)'!B130</f>
        <v>1388000</v>
      </c>
      <c r="AB11" s="731">
        <f>'8-ควบคุมโรค(1)'!B126</f>
        <v>120000</v>
      </c>
      <c r="AC11" s="731">
        <f>'8-ควบคุมโรค(1)'!B127</f>
        <v>150000</v>
      </c>
      <c r="AD11" s="729"/>
      <c r="AE11" s="729"/>
      <c r="AF11" s="729"/>
      <c r="AG11" s="729"/>
      <c r="AH11" s="729"/>
      <c r="AI11" s="721">
        <f t="shared" si="6"/>
        <v>1658000</v>
      </c>
      <c r="AJ11" s="743">
        <v>111400</v>
      </c>
    </row>
    <row r="12" spans="1:35" ht="18.75">
      <c r="A12" s="722">
        <v>9</v>
      </c>
      <c r="B12" s="723" t="s">
        <v>25</v>
      </c>
      <c r="C12" s="724" t="e">
        <f>#REF!+#REF!+#REF!</f>
        <v>#REF!</v>
      </c>
      <c r="D12" s="724" t="e">
        <f>#REF!+#REF!</f>
        <v>#REF!</v>
      </c>
      <c r="E12" s="725" t="e">
        <f t="shared" si="0"/>
        <v>#REF!</v>
      </c>
      <c r="F12" s="715">
        <f>'9-ส่งเสริม(1)'!F26</f>
        <v>34300</v>
      </c>
      <c r="G12" s="715">
        <f>'9-ส่งเสริม(1)'!F31</f>
        <v>8000</v>
      </c>
      <c r="H12" s="717">
        <f t="shared" si="1"/>
        <v>42300</v>
      </c>
      <c r="I12" s="718" t="e">
        <f t="shared" si="2"/>
        <v>#REF!</v>
      </c>
      <c r="J12" s="718" t="e">
        <f t="shared" si="3"/>
        <v>#REF!</v>
      </c>
      <c r="K12" s="719" t="e">
        <f t="shared" si="4"/>
        <v>#REF!</v>
      </c>
      <c r="L12" s="720"/>
      <c r="M12" s="720"/>
      <c r="N12" s="728" t="e">
        <f>#REF!</f>
        <v>#REF!</v>
      </c>
      <c r="O12" s="728" t="e">
        <f>#REF!</f>
        <v>#REF!</v>
      </c>
      <c r="P12" s="720"/>
      <c r="Q12" s="720"/>
      <c r="R12" s="720"/>
      <c r="S12" s="720"/>
      <c r="T12" s="721" t="e">
        <f t="shared" si="5"/>
        <v>#REF!</v>
      </c>
      <c r="U12" s="720"/>
      <c r="V12" s="720"/>
      <c r="W12" s="720"/>
      <c r="X12" s="720"/>
      <c r="Y12" s="720"/>
      <c r="Z12" s="720"/>
      <c r="AA12" s="720"/>
      <c r="AB12" s="729"/>
      <c r="AC12" s="729"/>
      <c r="AD12" s="729"/>
      <c r="AE12" s="729"/>
      <c r="AF12" s="729"/>
      <c r="AG12" s="731">
        <v>8000</v>
      </c>
      <c r="AH12" s="729"/>
      <c r="AI12" s="721">
        <f t="shared" si="6"/>
        <v>8000</v>
      </c>
    </row>
    <row r="13" spans="1:35" ht="18.75">
      <c r="A13" s="722">
        <v>10</v>
      </c>
      <c r="B13" s="723" t="s">
        <v>26</v>
      </c>
      <c r="C13" s="724">
        <v>0</v>
      </c>
      <c r="D13" s="724">
        <v>0</v>
      </c>
      <c r="E13" s="725">
        <f t="shared" si="0"/>
        <v>0</v>
      </c>
      <c r="F13" s="715">
        <f>'10-ทันตฯ(1)'!F26</f>
        <v>58680</v>
      </c>
      <c r="G13" s="715">
        <v>0</v>
      </c>
      <c r="H13" s="717">
        <f t="shared" si="1"/>
        <v>58680</v>
      </c>
      <c r="I13" s="718">
        <f t="shared" si="2"/>
        <v>58680</v>
      </c>
      <c r="J13" s="718">
        <f t="shared" si="3"/>
        <v>0</v>
      </c>
      <c r="K13" s="719">
        <f t="shared" si="4"/>
        <v>58680</v>
      </c>
      <c r="L13" s="720"/>
      <c r="M13" s="720"/>
      <c r="N13" s="720"/>
      <c r="O13" s="720"/>
      <c r="P13" s="720"/>
      <c r="Q13" s="720"/>
      <c r="R13" s="720"/>
      <c r="S13" s="720"/>
      <c r="T13" s="721">
        <f t="shared" si="5"/>
        <v>0</v>
      </c>
      <c r="U13" s="720"/>
      <c r="V13" s="720"/>
      <c r="W13" s="720"/>
      <c r="X13" s="720"/>
      <c r="Y13" s="720"/>
      <c r="Z13" s="720"/>
      <c r="AA13" s="720"/>
      <c r="AB13" s="729"/>
      <c r="AC13" s="729"/>
      <c r="AD13" s="729"/>
      <c r="AE13" s="729"/>
      <c r="AF13" s="729"/>
      <c r="AG13" s="729"/>
      <c r="AH13" s="729"/>
      <c r="AI13" s="721">
        <f t="shared" si="6"/>
        <v>0</v>
      </c>
    </row>
    <row r="14" spans="1:36" ht="18.75">
      <c r="A14" s="722">
        <v>11</v>
      </c>
      <c r="B14" s="723" t="s">
        <v>27</v>
      </c>
      <c r="C14" s="724" t="e">
        <f>#REF!</f>
        <v>#REF!</v>
      </c>
      <c r="D14" s="724">
        <v>0</v>
      </c>
      <c r="E14" s="725" t="e">
        <f>SUM(C14:D14)</f>
        <v>#REF!</v>
      </c>
      <c r="F14" s="715">
        <f>'11-อน(1)'!F26</f>
        <v>131740</v>
      </c>
      <c r="G14" s="715">
        <f>'11-อน(1)'!F37</f>
        <v>661000</v>
      </c>
      <c r="H14" s="717">
        <f>SUM(F14:G14)</f>
        <v>792740</v>
      </c>
      <c r="I14" s="718" t="e">
        <f t="shared" si="2"/>
        <v>#REF!</v>
      </c>
      <c r="J14" s="718">
        <f t="shared" si="3"/>
        <v>661000</v>
      </c>
      <c r="K14" s="719" t="e">
        <f t="shared" si="4"/>
        <v>#REF!</v>
      </c>
      <c r="L14" s="729"/>
      <c r="M14" s="729"/>
      <c r="N14" s="729"/>
      <c r="O14" s="729"/>
      <c r="P14" s="720"/>
      <c r="Q14" s="720"/>
      <c r="R14" s="720"/>
      <c r="S14" s="720"/>
      <c r="T14" s="721">
        <f t="shared" si="5"/>
        <v>0</v>
      </c>
      <c r="U14" s="720"/>
      <c r="V14" s="720"/>
      <c r="W14" s="720"/>
      <c r="X14" s="720"/>
      <c r="Y14" s="720"/>
      <c r="Z14" s="720"/>
      <c r="AA14" s="720"/>
      <c r="AB14" s="729"/>
      <c r="AC14" s="729"/>
      <c r="AD14" s="731">
        <f>'11-อน(1)'!F37</f>
        <v>661000</v>
      </c>
      <c r="AE14" s="729"/>
      <c r="AF14" s="729"/>
      <c r="AG14" s="729"/>
      <c r="AH14" s="729"/>
      <c r="AI14" s="721">
        <f t="shared" si="6"/>
        <v>661000</v>
      </c>
      <c r="AJ14" s="743">
        <v>155400</v>
      </c>
    </row>
    <row r="15" spans="1:36" ht="18.75">
      <c r="A15" s="722">
        <v>12</v>
      </c>
      <c r="B15" s="723" t="s">
        <v>28</v>
      </c>
      <c r="C15" s="724">
        <v>0</v>
      </c>
      <c r="D15" s="724">
        <v>0</v>
      </c>
      <c r="E15" s="725">
        <f t="shared" si="0"/>
        <v>0</v>
      </c>
      <c r="F15" s="715">
        <f>'12-NCD(1)'!F281</f>
        <v>334740</v>
      </c>
      <c r="G15" s="715">
        <v>5438610</v>
      </c>
      <c r="H15" s="717">
        <f t="shared" si="1"/>
        <v>5773350</v>
      </c>
      <c r="I15" s="718">
        <f t="shared" si="2"/>
        <v>334740</v>
      </c>
      <c r="J15" s="718">
        <f t="shared" si="3"/>
        <v>5438610</v>
      </c>
      <c r="K15" s="719">
        <f t="shared" si="4"/>
        <v>5773350</v>
      </c>
      <c r="L15" s="720"/>
      <c r="M15" s="720"/>
      <c r="N15" s="720"/>
      <c r="O15" s="720"/>
      <c r="P15" s="720"/>
      <c r="Q15" s="720"/>
      <c r="R15" s="720"/>
      <c r="S15" s="720"/>
      <c r="T15" s="721">
        <f t="shared" si="5"/>
        <v>0</v>
      </c>
      <c r="U15" s="720"/>
      <c r="V15" s="733">
        <v>4272610</v>
      </c>
      <c r="W15" s="733">
        <v>1000000</v>
      </c>
      <c r="X15" s="733">
        <v>166000</v>
      </c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1">
        <f t="shared" si="6"/>
        <v>5438610</v>
      </c>
      <c r="AJ15" s="743">
        <v>184740</v>
      </c>
    </row>
    <row r="16" spans="1:35" ht="18.75">
      <c r="A16" s="722">
        <v>13</v>
      </c>
      <c r="B16" s="723" t="s">
        <v>29</v>
      </c>
      <c r="C16" s="724">
        <v>0</v>
      </c>
      <c r="D16" s="724">
        <f>28000+926400+1300000</f>
        <v>2254400</v>
      </c>
      <c r="E16" s="725">
        <f t="shared" si="0"/>
        <v>2254400</v>
      </c>
      <c r="F16" s="715"/>
      <c r="G16" s="715">
        <f>'13-แผนไทย(1)'!F61</f>
        <v>363140</v>
      </c>
      <c r="H16" s="717">
        <f t="shared" si="1"/>
        <v>363140</v>
      </c>
      <c r="I16" s="718">
        <f t="shared" si="2"/>
        <v>0</v>
      </c>
      <c r="J16" s="718">
        <f t="shared" si="3"/>
        <v>2617540</v>
      </c>
      <c r="K16" s="719">
        <f t="shared" si="4"/>
        <v>2617540</v>
      </c>
      <c r="L16" s="720"/>
      <c r="M16" s="720"/>
      <c r="N16" s="720"/>
      <c r="O16" s="720"/>
      <c r="P16" s="720"/>
      <c r="Q16" s="720"/>
      <c r="R16" s="734">
        <v>28000</v>
      </c>
      <c r="S16" s="733">
        <v>2226400</v>
      </c>
      <c r="T16" s="721">
        <f t="shared" si="5"/>
        <v>2254400</v>
      </c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33">
        <v>363140</v>
      </c>
      <c r="AI16" s="721">
        <f t="shared" si="6"/>
        <v>363140</v>
      </c>
    </row>
    <row r="17" spans="1:36" ht="18.75">
      <c r="A17" s="722">
        <v>14</v>
      </c>
      <c r="B17" s="723" t="s">
        <v>30</v>
      </c>
      <c r="C17" s="724" t="e">
        <f>#REF!</f>
        <v>#REF!</v>
      </c>
      <c r="D17" s="724"/>
      <c r="E17" s="725" t="e">
        <f t="shared" si="0"/>
        <v>#REF!</v>
      </c>
      <c r="F17" s="715">
        <f>'14-ตรวจสอบภายใน(1)'!F9</f>
        <v>50160</v>
      </c>
      <c r="G17" s="715"/>
      <c r="H17" s="717">
        <f t="shared" si="1"/>
        <v>50160</v>
      </c>
      <c r="I17" s="718" t="e">
        <f t="shared" si="2"/>
        <v>#REF!</v>
      </c>
      <c r="J17" s="718">
        <f t="shared" si="3"/>
        <v>0</v>
      </c>
      <c r="K17" s="719" t="e">
        <f t="shared" si="4"/>
        <v>#REF!</v>
      </c>
      <c r="L17" s="720"/>
      <c r="M17" s="720"/>
      <c r="N17" s="720"/>
      <c r="O17" s="720"/>
      <c r="P17" s="720"/>
      <c r="Q17" s="720"/>
      <c r="R17" s="720"/>
      <c r="S17" s="735"/>
      <c r="T17" s="721">
        <f t="shared" si="5"/>
        <v>0</v>
      </c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35"/>
      <c r="AI17" s="721">
        <f t="shared" si="6"/>
        <v>0</v>
      </c>
      <c r="AJ17" s="743">
        <v>100000</v>
      </c>
    </row>
    <row r="18" spans="1:36" s="741" customFormat="1" ht="18.75">
      <c r="A18" s="736"/>
      <c r="B18" s="736" t="s">
        <v>4</v>
      </c>
      <c r="C18" s="737" t="e">
        <f aca="true" t="shared" si="7" ref="C18:L18">SUM(C4:C17)</f>
        <v>#REF!</v>
      </c>
      <c r="D18" s="737" t="e">
        <f t="shared" si="7"/>
        <v>#REF!</v>
      </c>
      <c r="E18" s="737" t="e">
        <f t="shared" si="7"/>
        <v>#REF!</v>
      </c>
      <c r="F18" s="738">
        <f t="shared" si="7"/>
        <v>1929580</v>
      </c>
      <c r="G18" s="738">
        <f t="shared" si="7"/>
        <v>8640890</v>
      </c>
      <c r="H18" s="738">
        <f t="shared" si="7"/>
        <v>10570470</v>
      </c>
      <c r="I18" s="739" t="e">
        <f t="shared" si="7"/>
        <v>#REF!</v>
      </c>
      <c r="J18" s="739" t="e">
        <f t="shared" si="7"/>
        <v>#REF!</v>
      </c>
      <c r="K18" s="740" t="e">
        <f t="shared" si="7"/>
        <v>#REF!</v>
      </c>
      <c r="L18" s="721" t="e">
        <f t="shared" si="7"/>
        <v>#REF!</v>
      </c>
      <c r="M18" s="721"/>
      <c r="N18" s="721"/>
      <c r="O18" s="721"/>
      <c r="P18" s="721" t="e">
        <f>SUM(P4:P17)</f>
        <v>#REF!</v>
      </c>
      <c r="Q18" s="721" t="e">
        <f>SUM(Q4:Q17)</f>
        <v>#REF!</v>
      </c>
      <c r="R18" s="721"/>
      <c r="S18" s="721">
        <f>SUM(S4:S17)</f>
        <v>2226400</v>
      </c>
      <c r="T18" s="721" t="e">
        <f>SUM(L18:S18)</f>
        <v>#REF!</v>
      </c>
      <c r="U18" s="721">
        <f aca="true" t="shared" si="8" ref="U18:AH18">SUM(U4:U17)</f>
        <v>66000</v>
      </c>
      <c r="V18" s="721"/>
      <c r="W18" s="721"/>
      <c r="X18" s="721"/>
      <c r="Y18" s="721"/>
      <c r="Z18" s="721">
        <f t="shared" si="8"/>
        <v>24440</v>
      </c>
      <c r="AA18" s="721">
        <f t="shared" si="8"/>
        <v>1388000</v>
      </c>
      <c r="AB18" s="721">
        <f t="shared" si="8"/>
        <v>120000</v>
      </c>
      <c r="AC18" s="721">
        <f t="shared" si="8"/>
        <v>150000</v>
      </c>
      <c r="AD18" s="721">
        <f t="shared" si="8"/>
        <v>661000</v>
      </c>
      <c r="AE18" s="721"/>
      <c r="AF18" s="721"/>
      <c r="AG18" s="721">
        <f t="shared" si="8"/>
        <v>8000</v>
      </c>
      <c r="AH18" s="721">
        <f t="shared" si="8"/>
        <v>363140</v>
      </c>
      <c r="AI18" s="721">
        <f>SUM(AI4:AI17)</f>
        <v>8640890</v>
      </c>
      <c r="AJ18" s="1034">
        <f>SUM(AJ4:AJ17)</f>
        <v>1120522</v>
      </c>
    </row>
    <row r="19" spans="6:10" ht="18.75">
      <c r="F19" s="744"/>
      <c r="I19" s="745"/>
      <c r="J19" s="745"/>
    </row>
  </sheetData>
  <sheetProtection/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rintOptions/>
  <pageMargins left="0.25" right="0.25" top="0.75" bottom="0.75" header="0.3" footer="0.3"/>
  <pageSetup fitToWidth="0" horizontalDpi="600" verticalDpi="600" orientation="landscape" paperSize="5" r:id="rId3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zoomScaleSheetLayoutView="80" zoomScalePageLayoutView="0" workbookViewId="0" topLeftCell="A99">
      <selection activeCell="H2" sqref="H1:U16384"/>
    </sheetView>
  </sheetViews>
  <sheetFormatPr defaultColWidth="9.00390625" defaultRowHeight="15"/>
  <cols>
    <col min="1" max="4" width="13.57421875" style="60" customWidth="1"/>
    <col min="5" max="5" width="20.57421875" style="60" customWidth="1"/>
    <col min="6" max="6" width="9.421875" style="60" customWidth="1"/>
    <col min="7" max="7" width="5.421875" style="60" customWidth="1"/>
    <col min="8" max="8" width="9.421875" style="60" customWidth="1"/>
    <col min="9" max="10" width="4.00390625" style="805" customWidth="1"/>
    <col min="11" max="20" width="4.00390625" style="1093" customWidth="1"/>
    <col min="21" max="21" width="6.140625" style="60" customWidth="1"/>
    <col min="22" max="23" width="9.00390625" style="815" customWidth="1"/>
    <col min="24" max="16384" width="9.00390625" style="60" customWidth="1"/>
  </cols>
  <sheetData>
    <row r="1" spans="1:23" s="32" customFormat="1" ht="20.25">
      <c r="A1" s="1393" t="s">
        <v>1454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060"/>
      <c r="W1" s="1060"/>
    </row>
    <row r="2" spans="1:23" s="32" customFormat="1" ht="20.25">
      <c r="A2" s="1394" t="s">
        <v>1463</v>
      </c>
      <c r="B2" s="1394"/>
      <c r="C2" s="1394"/>
      <c r="D2" s="1394"/>
      <c r="E2" s="235"/>
      <c r="I2" s="778"/>
      <c r="J2" s="778"/>
      <c r="K2" s="1091"/>
      <c r="L2" s="1091"/>
      <c r="M2" s="1091"/>
      <c r="N2" s="1091"/>
      <c r="O2" s="1091"/>
      <c r="P2" s="1091"/>
      <c r="Q2" s="1091"/>
      <c r="R2" s="1091"/>
      <c r="S2" s="1091"/>
      <c r="T2" s="1091"/>
      <c r="V2" s="1060"/>
      <c r="W2" s="1060"/>
    </row>
    <row r="3" spans="1:23" s="32" customFormat="1" ht="20.25">
      <c r="A3" s="233" t="s">
        <v>1464</v>
      </c>
      <c r="B3" s="233"/>
      <c r="C3" s="233"/>
      <c r="D3" s="233"/>
      <c r="E3" s="235"/>
      <c r="I3" s="778"/>
      <c r="J3" s="778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V3" s="1060"/>
      <c r="W3" s="1060"/>
    </row>
    <row r="4" spans="1:21" ht="18.75">
      <c r="A4" s="1392" t="s">
        <v>44</v>
      </c>
      <c r="B4" s="1392" t="s">
        <v>45</v>
      </c>
      <c r="C4" s="1392" t="s">
        <v>46</v>
      </c>
      <c r="D4" s="1392" t="s">
        <v>47</v>
      </c>
      <c r="E4" s="1392" t="s">
        <v>48</v>
      </c>
      <c r="F4" s="1392"/>
      <c r="G4" s="1392"/>
      <c r="H4" s="1392" t="s">
        <v>49</v>
      </c>
      <c r="I4" s="1395" t="s">
        <v>50</v>
      </c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2" t="s">
        <v>153</v>
      </c>
    </row>
    <row r="5" spans="1:21" ht="18.75">
      <c r="A5" s="1392"/>
      <c r="B5" s="1392"/>
      <c r="C5" s="1392"/>
      <c r="D5" s="1392"/>
      <c r="E5" s="1392" t="s">
        <v>52</v>
      </c>
      <c r="F5" s="1392" t="s">
        <v>53</v>
      </c>
      <c r="G5" s="1392" t="s">
        <v>54</v>
      </c>
      <c r="H5" s="1392"/>
      <c r="I5" s="1390" t="s">
        <v>55</v>
      </c>
      <c r="J5" s="1390" t="s">
        <v>56</v>
      </c>
      <c r="K5" s="1390" t="s">
        <v>57</v>
      </c>
      <c r="L5" s="1391" t="s">
        <v>58</v>
      </c>
      <c r="M5" s="1391" t="s">
        <v>59</v>
      </c>
      <c r="N5" s="1390" t="s">
        <v>60</v>
      </c>
      <c r="O5" s="1390" t="s">
        <v>61</v>
      </c>
      <c r="P5" s="1390" t="s">
        <v>62</v>
      </c>
      <c r="Q5" s="1390" t="s">
        <v>63</v>
      </c>
      <c r="R5" s="1390" t="s">
        <v>64</v>
      </c>
      <c r="S5" s="1390" t="s">
        <v>65</v>
      </c>
      <c r="T5" s="1390" t="s">
        <v>66</v>
      </c>
      <c r="U5" s="1392"/>
    </row>
    <row r="6" spans="1:21" ht="18.75">
      <c r="A6" s="1392"/>
      <c r="B6" s="1392"/>
      <c r="C6" s="1392"/>
      <c r="D6" s="1392"/>
      <c r="E6" s="1392"/>
      <c r="F6" s="1392"/>
      <c r="G6" s="1392"/>
      <c r="H6" s="1392"/>
      <c r="I6" s="1390"/>
      <c r="J6" s="1390"/>
      <c r="K6" s="1390"/>
      <c r="L6" s="1391"/>
      <c r="M6" s="1391"/>
      <c r="N6" s="1390"/>
      <c r="O6" s="1390"/>
      <c r="P6" s="1390"/>
      <c r="Q6" s="1390"/>
      <c r="R6" s="1390"/>
      <c r="S6" s="1390"/>
      <c r="T6" s="1390"/>
      <c r="U6" s="1392"/>
    </row>
    <row r="7" spans="1:21" ht="18.75">
      <c r="A7" s="1103" t="s">
        <v>472</v>
      </c>
      <c r="B7" s="1053"/>
      <c r="C7" s="1053"/>
      <c r="D7" s="1053"/>
      <c r="E7" s="1053"/>
      <c r="F7" s="1053"/>
      <c r="G7" s="362"/>
      <c r="H7" s="1053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4"/>
      <c r="U7" s="1053"/>
    </row>
    <row r="8" spans="1:21" ht="112.5">
      <c r="A8" s="240" t="s">
        <v>1465</v>
      </c>
      <c r="B8" s="1053"/>
      <c r="C8" s="303" t="s">
        <v>473</v>
      </c>
      <c r="D8" s="303" t="s">
        <v>474</v>
      </c>
      <c r="E8" s="240"/>
      <c r="F8" s="352"/>
      <c r="G8" s="303"/>
      <c r="H8" s="303" t="s">
        <v>1466</v>
      </c>
      <c r="I8" s="1095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5"/>
      <c r="U8" s="323" t="s">
        <v>475</v>
      </c>
    </row>
    <row r="9" spans="1:21" ht="225">
      <c r="A9" s="240" t="s">
        <v>1467</v>
      </c>
      <c r="B9" s="1053"/>
      <c r="C9" s="67" t="s">
        <v>476</v>
      </c>
      <c r="D9" s="67" t="s">
        <v>477</v>
      </c>
      <c r="E9" s="240"/>
      <c r="F9" s="352"/>
      <c r="G9" s="303"/>
      <c r="H9" s="303" t="s">
        <v>202</v>
      </c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323" t="s">
        <v>475</v>
      </c>
    </row>
    <row r="10" spans="1:21" ht="18.75">
      <c r="A10" s="1061" t="s">
        <v>478</v>
      </c>
      <c r="B10" s="1053"/>
      <c r="C10" s="67"/>
      <c r="D10" s="67"/>
      <c r="E10" s="240"/>
      <c r="F10" s="352"/>
      <c r="G10" s="303"/>
      <c r="H10" s="303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323"/>
    </row>
    <row r="11" spans="1:21" ht="56.25">
      <c r="A11" s="1062" t="s">
        <v>479</v>
      </c>
      <c r="B11" s="1053"/>
      <c r="C11" s="67"/>
      <c r="D11" s="67"/>
      <c r="E11" s="240" t="s">
        <v>480</v>
      </c>
      <c r="F11" s="352">
        <v>4800</v>
      </c>
      <c r="G11" s="303" t="s">
        <v>77</v>
      </c>
      <c r="H11" s="303"/>
      <c r="I11" s="1095"/>
      <c r="J11" s="1095"/>
      <c r="K11" s="1095"/>
      <c r="L11" s="1095"/>
      <c r="M11" s="1095">
        <v>2400</v>
      </c>
      <c r="N11" s="1095"/>
      <c r="O11" s="1095"/>
      <c r="P11" s="1095"/>
      <c r="Q11" s="1095"/>
      <c r="R11" s="1095"/>
      <c r="S11" s="1095">
        <v>2400</v>
      </c>
      <c r="T11" s="1095"/>
      <c r="U11" s="323"/>
    </row>
    <row r="12" spans="1:21" ht="56.25">
      <c r="A12" s="1062" t="s">
        <v>481</v>
      </c>
      <c r="B12" s="1053"/>
      <c r="C12" s="67"/>
      <c r="D12" s="67"/>
      <c r="E12" s="240" t="s">
        <v>480</v>
      </c>
      <c r="F12" s="352">
        <v>4800</v>
      </c>
      <c r="G12" s="303" t="s">
        <v>77</v>
      </c>
      <c r="H12" s="303"/>
      <c r="I12" s="1095"/>
      <c r="J12" s="1095"/>
      <c r="K12" s="1095"/>
      <c r="L12" s="1095">
        <v>2400</v>
      </c>
      <c r="M12" s="1095"/>
      <c r="N12" s="1095"/>
      <c r="O12" s="1095"/>
      <c r="P12" s="1095">
        <v>2400</v>
      </c>
      <c r="Q12" s="1095"/>
      <c r="R12" s="1095"/>
      <c r="S12" s="1095"/>
      <c r="T12" s="1095"/>
      <c r="U12" s="323"/>
    </row>
    <row r="13" spans="1:21" ht="56.25">
      <c r="A13" s="1062" t="s">
        <v>482</v>
      </c>
      <c r="B13" s="1053"/>
      <c r="C13" s="303"/>
      <c r="D13" s="303"/>
      <c r="E13" s="240" t="s">
        <v>480</v>
      </c>
      <c r="F13" s="352">
        <v>4800</v>
      </c>
      <c r="G13" s="303" t="s">
        <v>77</v>
      </c>
      <c r="H13" s="303"/>
      <c r="I13" s="1095"/>
      <c r="J13" s="1095"/>
      <c r="K13" s="1095"/>
      <c r="L13" s="1095">
        <v>2400</v>
      </c>
      <c r="M13" s="1095"/>
      <c r="N13" s="1095"/>
      <c r="O13" s="1095"/>
      <c r="P13" s="1095"/>
      <c r="Q13" s="1095"/>
      <c r="R13" s="1095"/>
      <c r="S13" s="1095">
        <v>2400</v>
      </c>
      <c r="T13" s="1095"/>
      <c r="U13" s="323"/>
    </row>
    <row r="14" spans="1:21" ht="18.75">
      <c r="A14" s="1062" t="s">
        <v>483</v>
      </c>
      <c r="B14" s="1053"/>
      <c r="C14" s="303"/>
      <c r="D14" s="303"/>
      <c r="E14" s="240"/>
      <c r="F14" s="352"/>
      <c r="G14" s="303"/>
      <c r="H14" s="303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5"/>
      <c r="U14" s="323"/>
    </row>
    <row r="15" spans="1:21" ht="18.75">
      <c r="A15" s="1062" t="s">
        <v>484</v>
      </c>
      <c r="B15" s="1053"/>
      <c r="C15" s="303"/>
      <c r="D15" s="303"/>
      <c r="E15" s="240"/>
      <c r="F15" s="352"/>
      <c r="G15" s="303"/>
      <c r="H15" s="303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323"/>
    </row>
    <row r="16" spans="1:21" ht="18.75" customHeight="1">
      <c r="A16" s="1061" t="s">
        <v>485</v>
      </c>
      <c r="B16" s="1053"/>
      <c r="C16" s="303"/>
      <c r="D16" s="303"/>
      <c r="E16" s="66"/>
      <c r="F16" s="66"/>
      <c r="G16" s="1064"/>
      <c r="H16" s="303"/>
      <c r="I16" s="1095"/>
      <c r="J16" s="1095"/>
      <c r="K16" s="1095"/>
      <c r="L16" s="1096"/>
      <c r="M16" s="1095"/>
      <c r="N16" s="1095"/>
      <c r="O16" s="1095"/>
      <c r="P16" s="1095"/>
      <c r="Q16" s="1095"/>
      <c r="R16" s="1097"/>
      <c r="S16" s="1096"/>
      <c r="T16" s="1095"/>
      <c r="U16" s="323"/>
    </row>
    <row r="17" spans="1:21" ht="21" customHeight="1">
      <c r="A17" s="1062" t="s">
        <v>486</v>
      </c>
      <c r="B17" s="1053"/>
      <c r="C17" s="303"/>
      <c r="D17" s="303"/>
      <c r="E17" s="1292" t="s">
        <v>480</v>
      </c>
      <c r="F17" s="1388">
        <v>4800</v>
      </c>
      <c r="G17" s="1384" t="s">
        <v>77</v>
      </c>
      <c r="H17" s="303"/>
      <c r="I17" s="1095"/>
      <c r="J17" s="1095"/>
      <c r="K17" s="1095"/>
      <c r="L17" s="1389">
        <v>2400</v>
      </c>
      <c r="M17" s="1095"/>
      <c r="N17" s="1095"/>
      <c r="O17" s="1095"/>
      <c r="P17" s="1095"/>
      <c r="Q17" s="1095"/>
      <c r="R17" s="1097"/>
      <c r="S17" s="1389">
        <v>2400</v>
      </c>
      <c r="T17" s="1095"/>
      <c r="U17" s="323"/>
    </row>
    <row r="18" spans="1:21" ht="21" customHeight="1">
      <c r="A18" s="1062" t="s">
        <v>487</v>
      </c>
      <c r="B18" s="1053"/>
      <c r="C18" s="303"/>
      <c r="D18" s="303"/>
      <c r="E18" s="1292"/>
      <c r="F18" s="1388"/>
      <c r="G18" s="1384"/>
      <c r="H18" s="303"/>
      <c r="I18" s="1095"/>
      <c r="J18" s="1095"/>
      <c r="K18" s="1095"/>
      <c r="L18" s="1389"/>
      <c r="M18" s="1095"/>
      <c r="N18" s="1095"/>
      <c r="O18" s="1095"/>
      <c r="P18" s="1095"/>
      <c r="Q18" s="1095"/>
      <c r="R18" s="1095"/>
      <c r="S18" s="1389"/>
      <c r="T18" s="1095"/>
      <c r="U18" s="323"/>
    </row>
    <row r="19" spans="1:21" ht="243.75">
      <c r="A19" s="240" t="s">
        <v>488</v>
      </c>
      <c r="B19" s="1053"/>
      <c r="C19" s="67" t="s">
        <v>489</v>
      </c>
      <c r="D19" s="67" t="s">
        <v>490</v>
      </c>
      <c r="E19" s="240"/>
      <c r="F19" s="352"/>
      <c r="G19" s="303" t="s">
        <v>77</v>
      </c>
      <c r="H19" s="303" t="s">
        <v>202</v>
      </c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323" t="s">
        <v>475</v>
      </c>
    </row>
    <row r="20" spans="1:21" ht="18.75">
      <c r="A20" s="1061" t="s">
        <v>491</v>
      </c>
      <c r="B20" s="1053"/>
      <c r="C20" s="67"/>
      <c r="D20" s="67"/>
      <c r="E20" s="240"/>
      <c r="F20" s="352"/>
      <c r="G20" s="303"/>
      <c r="H20" s="303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323"/>
    </row>
    <row r="21" spans="1:21" ht="56.25">
      <c r="A21" s="1062" t="s">
        <v>492</v>
      </c>
      <c r="B21" s="1053"/>
      <c r="C21" s="67"/>
      <c r="D21" s="67"/>
      <c r="E21" s="240" t="s">
        <v>1468</v>
      </c>
      <c r="F21" s="352">
        <v>4800</v>
      </c>
      <c r="G21" s="303" t="s">
        <v>77</v>
      </c>
      <c r="H21" s="303"/>
      <c r="I21" s="1095"/>
      <c r="J21" s="1095"/>
      <c r="K21" s="1095"/>
      <c r="L21" s="1095"/>
      <c r="M21" s="1095"/>
      <c r="N21" s="1095">
        <v>2400</v>
      </c>
      <c r="O21" s="1095"/>
      <c r="P21" s="1095"/>
      <c r="Q21" s="1095"/>
      <c r="R21" s="1095"/>
      <c r="S21" s="1095"/>
      <c r="T21" s="1095">
        <v>2400</v>
      </c>
      <c r="U21" s="323"/>
    </row>
    <row r="22" spans="1:21" ht="56.25">
      <c r="A22" s="1062" t="s">
        <v>493</v>
      </c>
      <c r="B22" s="1053"/>
      <c r="C22" s="67"/>
      <c r="D22" s="67"/>
      <c r="E22" s="240" t="s">
        <v>480</v>
      </c>
      <c r="F22" s="352">
        <v>4800</v>
      </c>
      <c r="G22" s="303" t="s">
        <v>77</v>
      </c>
      <c r="H22" s="303"/>
      <c r="I22" s="1095"/>
      <c r="J22" s="1095"/>
      <c r="K22" s="1095"/>
      <c r="L22" s="1095"/>
      <c r="M22" s="1095"/>
      <c r="N22" s="1095">
        <v>2400</v>
      </c>
      <c r="O22" s="1095"/>
      <c r="P22" s="1095"/>
      <c r="Q22" s="1095"/>
      <c r="R22" s="1095"/>
      <c r="S22" s="1095"/>
      <c r="T22" s="1095">
        <v>2400</v>
      </c>
      <c r="U22" s="323"/>
    </row>
    <row r="23" spans="1:21" ht="56.25">
      <c r="A23" s="1062" t="s">
        <v>494</v>
      </c>
      <c r="B23" s="1053"/>
      <c r="C23" s="67"/>
      <c r="D23" s="67"/>
      <c r="E23" s="240" t="s">
        <v>495</v>
      </c>
      <c r="F23" s="352">
        <v>2400</v>
      </c>
      <c r="G23" s="303" t="s">
        <v>77</v>
      </c>
      <c r="H23" s="303"/>
      <c r="I23" s="1095"/>
      <c r="J23" s="1095"/>
      <c r="K23" s="1095"/>
      <c r="L23" s="1095"/>
      <c r="M23" s="1095"/>
      <c r="N23" s="1095">
        <v>1200</v>
      </c>
      <c r="O23" s="1095"/>
      <c r="P23" s="1095"/>
      <c r="Q23" s="1095"/>
      <c r="R23" s="1095"/>
      <c r="S23" s="1095"/>
      <c r="T23" s="1095">
        <v>1200</v>
      </c>
      <c r="U23" s="323"/>
    </row>
    <row r="24" spans="1:21" ht="18.75">
      <c r="A24" s="1062" t="s">
        <v>496</v>
      </c>
      <c r="B24" s="1053"/>
      <c r="C24" s="67"/>
      <c r="D24" s="303"/>
      <c r="E24" s="240"/>
      <c r="F24" s="352"/>
      <c r="G24" s="303"/>
      <c r="H24" s="303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323"/>
    </row>
    <row r="25" spans="1:21" ht="18.75">
      <c r="A25" s="1062" t="s">
        <v>497</v>
      </c>
      <c r="B25" s="1053"/>
      <c r="C25" s="303"/>
      <c r="D25" s="303"/>
      <c r="E25" s="240"/>
      <c r="F25" s="352"/>
      <c r="G25" s="303"/>
      <c r="H25" s="303"/>
      <c r="I25" s="1095"/>
      <c r="J25" s="1095"/>
      <c r="K25" s="1095"/>
      <c r="L25" s="1095"/>
      <c r="M25" s="1095"/>
      <c r="N25" s="1095"/>
      <c r="O25" s="1095"/>
      <c r="P25" s="1095"/>
      <c r="Q25" s="1095"/>
      <c r="R25" s="1095"/>
      <c r="S25" s="1095"/>
      <c r="T25" s="1095"/>
      <c r="U25" s="323"/>
    </row>
    <row r="26" spans="1:21" ht="18.75" customHeight="1">
      <c r="A26" s="1061" t="s">
        <v>498</v>
      </c>
      <c r="B26" s="1053"/>
      <c r="C26" s="303"/>
      <c r="D26" s="303"/>
      <c r="E26" s="66"/>
      <c r="F26" s="1088"/>
      <c r="G26" s="66"/>
      <c r="H26" s="303"/>
      <c r="I26" s="1095"/>
      <c r="J26" s="1095"/>
      <c r="K26" s="1095"/>
      <c r="L26" s="1097"/>
      <c r="M26" s="1095"/>
      <c r="N26" s="1096"/>
      <c r="O26" s="1095"/>
      <c r="P26" s="1095"/>
      <c r="Q26" s="1095"/>
      <c r="R26" s="1097"/>
      <c r="S26" s="1097"/>
      <c r="T26" s="1096"/>
      <c r="U26" s="323"/>
    </row>
    <row r="27" spans="1:21" ht="21" customHeight="1">
      <c r="A27" s="1062" t="s">
        <v>499</v>
      </c>
      <c r="B27" s="1053"/>
      <c r="C27" s="303"/>
      <c r="D27" s="303"/>
      <c r="E27" s="1292" t="s">
        <v>480</v>
      </c>
      <c r="F27" s="1388">
        <v>4800</v>
      </c>
      <c r="G27" s="303" t="s">
        <v>77</v>
      </c>
      <c r="H27" s="303"/>
      <c r="I27" s="1095"/>
      <c r="J27" s="1095"/>
      <c r="K27" s="1095"/>
      <c r="L27" s="1097"/>
      <c r="M27" s="1095"/>
      <c r="N27" s="1389">
        <v>2400</v>
      </c>
      <c r="O27" s="1095"/>
      <c r="P27" s="1095"/>
      <c r="Q27" s="1095"/>
      <c r="R27" s="1097"/>
      <c r="S27" s="1097"/>
      <c r="T27" s="1389">
        <v>2400</v>
      </c>
      <c r="U27" s="323"/>
    </row>
    <row r="28" spans="1:21" ht="21" customHeight="1">
      <c r="A28" s="1062" t="s">
        <v>500</v>
      </c>
      <c r="B28" s="1053"/>
      <c r="C28" s="303"/>
      <c r="D28" s="303"/>
      <c r="E28" s="1292"/>
      <c r="F28" s="1388"/>
      <c r="G28" s="303"/>
      <c r="H28" s="303"/>
      <c r="I28" s="1095"/>
      <c r="J28" s="1095"/>
      <c r="K28" s="1095"/>
      <c r="L28" s="1095"/>
      <c r="M28" s="1095"/>
      <c r="N28" s="1389"/>
      <c r="O28" s="1095"/>
      <c r="P28" s="1095"/>
      <c r="Q28" s="1095"/>
      <c r="R28" s="1095"/>
      <c r="S28" s="1095"/>
      <c r="T28" s="1389"/>
      <c r="U28" s="323"/>
    </row>
    <row r="29" spans="1:21" ht="318.75">
      <c r="A29" s="1065" t="s">
        <v>1469</v>
      </c>
      <c r="B29" s="1053"/>
      <c r="C29" s="335" t="s">
        <v>502</v>
      </c>
      <c r="D29" s="335" t="s">
        <v>503</v>
      </c>
      <c r="E29" s="240" t="s">
        <v>1470</v>
      </c>
      <c r="F29" s="829">
        <v>4800</v>
      </c>
      <c r="G29" s="303" t="s">
        <v>77</v>
      </c>
      <c r="H29" s="1104" t="s">
        <v>504</v>
      </c>
      <c r="I29" s="1095"/>
      <c r="J29" s="1095"/>
      <c r="K29" s="1095">
        <v>1600</v>
      </c>
      <c r="L29" s="1095"/>
      <c r="M29" s="1095"/>
      <c r="N29" s="1095">
        <v>1600</v>
      </c>
      <c r="O29" s="1095"/>
      <c r="P29" s="1095"/>
      <c r="Q29" s="1095"/>
      <c r="R29" s="1095">
        <v>1600</v>
      </c>
      <c r="S29" s="1095"/>
      <c r="T29" s="1095"/>
      <c r="U29" s="67" t="s">
        <v>505</v>
      </c>
    </row>
    <row r="30" spans="1:21" ht="112.5">
      <c r="A30" s="1065" t="s">
        <v>1471</v>
      </c>
      <c r="B30" s="1053"/>
      <c r="C30" s="240" t="s">
        <v>506</v>
      </c>
      <c r="D30" s="1066" t="s">
        <v>507</v>
      </c>
      <c r="E30" s="240" t="s">
        <v>1472</v>
      </c>
      <c r="F30" s="905">
        <v>32000</v>
      </c>
      <c r="G30" s="303" t="s">
        <v>77</v>
      </c>
      <c r="H30" s="1067">
        <v>22798</v>
      </c>
      <c r="I30" s="1095"/>
      <c r="J30" s="1095"/>
      <c r="K30" s="1095"/>
      <c r="L30" s="1095"/>
      <c r="M30" s="1095"/>
      <c r="N30" s="1098"/>
      <c r="O30" s="1095"/>
      <c r="P30" s="1095"/>
      <c r="Q30" s="1095">
        <v>32000</v>
      </c>
      <c r="R30" s="1095"/>
      <c r="S30" s="1095"/>
      <c r="T30" s="1095"/>
      <c r="U30" s="67" t="s">
        <v>505</v>
      </c>
    </row>
    <row r="31" spans="1:21" ht="18.75">
      <c r="A31" s="240"/>
      <c r="B31" s="1053"/>
      <c r="C31" s="303"/>
      <c r="D31" s="303"/>
      <c r="E31" s="1048" t="s">
        <v>1065</v>
      </c>
      <c r="F31" s="1068">
        <f>SUM(F8:F30)</f>
        <v>72800</v>
      </c>
      <c r="G31" s="1051"/>
      <c r="H31" s="1105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046"/>
    </row>
    <row r="32" spans="1:21" ht="18.75">
      <c r="A32" s="77" t="s">
        <v>508</v>
      </c>
      <c r="B32" s="1053"/>
      <c r="C32" s="303"/>
      <c r="D32" s="303"/>
      <c r="E32" s="240"/>
      <c r="F32" s="352"/>
      <c r="G32" s="303"/>
      <c r="H32" s="303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323"/>
    </row>
    <row r="33" spans="1:21" ht="75">
      <c r="A33" s="1292" t="s">
        <v>1473</v>
      </c>
      <c r="B33" s="1053"/>
      <c r="C33" s="1292" t="s">
        <v>509</v>
      </c>
      <c r="D33" s="1106" t="s">
        <v>510</v>
      </c>
      <c r="E33" s="240" t="s">
        <v>1474</v>
      </c>
      <c r="F33" s="1069">
        <v>4000</v>
      </c>
      <c r="G33" s="303" t="s">
        <v>511</v>
      </c>
      <c r="H33" s="303" t="s">
        <v>512</v>
      </c>
      <c r="I33" s="1095"/>
      <c r="J33" s="1095"/>
      <c r="K33" s="1095">
        <v>4000</v>
      </c>
      <c r="L33" s="1095"/>
      <c r="M33" s="1095"/>
      <c r="N33" s="1095">
        <v>4000</v>
      </c>
      <c r="O33" s="1095"/>
      <c r="P33" s="1095"/>
      <c r="Q33" s="1095">
        <v>4000</v>
      </c>
      <c r="R33" s="1095"/>
      <c r="S33" s="1095"/>
      <c r="T33" s="1095">
        <v>4000</v>
      </c>
      <c r="U33" s="323" t="s">
        <v>475</v>
      </c>
    </row>
    <row r="34" spans="1:21" ht="75">
      <c r="A34" s="1292"/>
      <c r="B34" s="1053"/>
      <c r="C34" s="1292"/>
      <c r="D34" s="1066"/>
      <c r="E34" s="240" t="s">
        <v>1475</v>
      </c>
      <c r="F34" s="1107">
        <v>12000</v>
      </c>
      <c r="G34" s="362"/>
      <c r="H34" s="303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323"/>
    </row>
    <row r="35" spans="1:21" ht="18.75">
      <c r="A35" s="240"/>
      <c r="B35" s="1053"/>
      <c r="C35" s="240"/>
      <c r="D35" s="1066"/>
      <c r="E35" s="1046" t="s">
        <v>1065</v>
      </c>
      <c r="F35" s="1070">
        <f>SUM(F33:F34)</f>
        <v>16000</v>
      </c>
      <c r="G35" s="1048"/>
      <c r="H35" s="1046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46"/>
    </row>
    <row r="36" spans="1:21" ht="18.75">
      <c r="A36" s="1108" t="s">
        <v>1476</v>
      </c>
      <c r="B36" s="1053"/>
      <c r="C36" s="303"/>
      <c r="D36" s="1066"/>
      <c r="E36" s="240"/>
      <c r="F36" s="905"/>
      <c r="G36" s="362"/>
      <c r="H36" s="303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53" t="s">
        <v>475</v>
      </c>
    </row>
    <row r="37" spans="1:21" ht="56.25">
      <c r="A37" s="1071" t="s">
        <v>513</v>
      </c>
      <c r="B37" s="1053"/>
      <c r="C37" s="303" t="s">
        <v>514</v>
      </c>
      <c r="D37" s="1066" t="s">
        <v>515</v>
      </c>
      <c r="E37" s="240" t="s">
        <v>1477</v>
      </c>
      <c r="F37" s="1109">
        <v>6400</v>
      </c>
      <c r="G37" s="303" t="s">
        <v>77</v>
      </c>
      <c r="H37" s="1067">
        <v>22678</v>
      </c>
      <c r="I37" s="1095"/>
      <c r="J37" s="1095"/>
      <c r="K37" s="1095"/>
      <c r="L37" s="1095"/>
      <c r="M37" s="1095">
        <v>9600</v>
      </c>
      <c r="N37" s="1095"/>
      <c r="O37" s="1095"/>
      <c r="P37" s="1095"/>
      <c r="Q37" s="1095"/>
      <c r="R37" s="1095"/>
      <c r="S37" s="1095"/>
      <c r="T37" s="1095"/>
      <c r="U37" s="1053"/>
    </row>
    <row r="38" spans="1:21" ht="56.25">
      <c r="A38" s="1071"/>
      <c r="B38" s="1053"/>
      <c r="C38" s="303"/>
      <c r="D38" s="1066"/>
      <c r="E38" s="240" t="s">
        <v>1478</v>
      </c>
      <c r="F38" s="1110">
        <v>3200</v>
      </c>
      <c r="G38" s="362"/>
      <c r="H38" s="303"/>
      <c r="I38" s="1095"/>
      <c r="J38" s="1095"/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  <c r="U38" s="1053"/>
    </row>
    <row r="39" spans="1:21" ht="18.75">
      <c r="A39" s="1071"/>
      <c r="B39" s="1053"/>
      <c r="C39" s="303"/>
      <c r="D39" s="1066"/>
      <c r="E39" s="1046" t="s">
        <v>1065</v>
      </c>
      <c r="F39" s="336">
        <f>SUM(F37:F38)</f>
        <v>9600</v>
      </c>
      <c r="G39" s="1048"/>
      <c r="H39" s="1046"/>
      <c r="I39" s="1099"/>
      <c r="J39" s="1099"/>
      <c r="K39" s="1099"/>
      <c r="L39" s="1099"/>
      <c r="M39" s="1099"/>
      <c r="N39" s="1099"/>
      <c r="O39" s="1099"/>
      <c r="P39" s="1099"/>
      <c r="Q39" s="1099"/>
      <c r="R39" s="1099"/>
      <c r="S39" s="1099"/>
      <c r="T39" s="1099"/>
      <c r="U39" s="1048"/>
    </row>
    <row r="40" spans="1:21" ht="56.25">
      <c r="A40" s="1071" t="s">
        <v>516</v>
      </c>
      <c r="B40" s="1053"/>
      <c r="C40" s="303" t="s">
        <v>514</v>
      </c>
      <c r="D40" s="1106" t="s">
        <v>517</v>
      </c>
      <c r="E40" s="240" t="s">
        <v>1479</v>
      </c>
      <c r="F40" s="1111">
        <v>4000</v>
      </c>
      <c r="G40" s="303" t="s">
        <v>518</v>
      </c>
      <c r="H40" s="1067">
        <v>22647</v>
      </c>
      <c r="I40" s="1095"/>
      <c r="J40" s="1095"/>
      <c r="K40" s="1095"/>
      <c r="L40" s="1095">
        <v>31350</v>
      </c>
      <c r="M40" s="1095"/>
      <c r="N40" s="1095"/>
      <c r="O40" s="1095"/>
      <c r="P40" s="1095"/>
      <c r="Q40" s="1095"/>
      <c r="R40" s="1095"/>
      <c r="S40" s="1095"/>
      <c r="T40" s="1095"/>
      <c r="U40" s="67"/>
    </row>
    <row r="41" spans="1:21" ht="56.25">
      <c r="A41" s="1071"/>
      <c r="B41" s="1053"/>
      <c r="C41" s="303"/>
      <c r="D41" s="1066"/>
      <c r="E41" s="240" t="s">
        <v>1480</v>
      </c>
      <c r="F41" s="1112">
        <v>2000</v>
      </c>
      <c r="G41" s="362"/>
      <c r="H41" s="303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67"/>
    </row>
    <row r="42" spans="1:21" ht="37.5">
      <c r="A42" s="1071"/>
      <c r="B42" s="1053"/>
      <c r="C42" s="303"/>
      <c r="D42" s="1066"/>
      <c r="E42" s="240" t="s">
        <v>1481</v>
      </c>
      <c r="F42" s="343">
        <v>3000</v>
      </c>
      <c r="G42" s="362"/>
      <c r="H42" s="303"/>
      <c r="I42" s="1095"/>
      <c r="J42" s="1095"/>
      <c r="K42" s="1095"/>
      <c r="L42" s="1095"/>
      <c r="M42" s="1095"/>
      <c r="N42" s="1095"/>
      <c r="O42" s="1095"/>
      <c r="P42" s="1095"/>
      <c r="Q42" s="1095"/>
      <c r="R42" s="1095"/>
      <c r="S42" s="1095"/>
      <c r="T42" s="1095"/>
      <c r="U42" s="67"/>
    </row>
    <row r="43" spans="1:21" ht="56.25">
      <c r="A43" s="1071"/>
      <c r="B43" s="1053"/>
      <c r="C43" s="303"/>
      <c r="D43" s="1071"/>
      <c r="E43" s="240" t="s">
        <v>1482</v>
      </c>
      <c r="F43" s="1112">
        <v>2150</v>
      </c>
      <c r="G43" s="362"/>
      <c r="H43" s="303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67"/>
    </row>
    <row r="44" spans="1:21" ht="56.25">
      <c r="A44" s="1071"/>
      <c r="B44" s="1053"/>
      <c r="C44" s="303"/>
      <c r="D44" s="1071"/>
      <c r="E44" s="240" t="s">
        <v>1483</v>
      </c>
      <c r="F44" s="1112">
        <v>4000</v>
      </c>
      <c r="G44" s="362"/>
      <c r="H44" s="303"/>
      <c r="I44" s="1095"/>
      <c r="J44" s="1095"/>
      <c r="K44" s="1095"/>
      <c r="L44" s="1095"/>
      <c r="M44" s="1095"/>
      <c r="N44" s="1095"/>
      <c r="O44" s="1095"/>
      <c r="P44" s="1095"/>
      <c r="Q44" s="1095"/>
      <c r="R44" s="1095"/>
      <c r="S44" s="1095"/>
      <c r="T44" s="1095"/>
      <c r="U44" s="67"/>
    </row>
    <row r="45" spans="1:21" ht="56.25">
      <c r="A45" s="1071"/>
      <c r="B45" s="1053"/>
      <c r="C45" s="303"/>
      <c r="D45" s="1071"/>
      <c r="E45" s="240" t="s">
        <v>1484</v>
      </c>
      <c r="F45" s="1112">
        <v>8400</v>
      </c>
      <c r="G45" s="362"/>
      <c r="H45" s="303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67"/>
    </row>
    <row r="46" spans="1:21" ht="56.25">
      <c r="A46" s="1071"/>
      <c r="B46" s="1053"/>
      <c r="C46" s="303"/>
      <c r="D46" s="1071"/>
      <c r="E46" s="240" t="s">
        <v>1485</v>
      </c>
      <c r="F46" s="1112">
        <v>7800</v>
      </c>
      <c r="G46" s="362"/>
      <c r="H46" s="303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67"/>
    </row>
    <row r="47" spans="1:21" ht="18.75">
      <c r="A47" s="1071"/>
      <c r="B47" s="1053"/>
      <c r="C47" s="303"/>
      <c r="D47" s="1106"/>
      <c r="E47" s="1048" t="s">
        <v>1065</v>
      </c>
      <c r="F47" s="1113">
        <f>SUM(F40:F46)</f>
        <v>31350</v>
      </c>
      <c r="G47" s="1089"/>
      <c r="H47" s="1114"/>
      <c r="I47" s="1100"/>
      <c r="J47" s="1100"/>
      <c r="K47" s="1100"/>
      <c r="L47" s="1100"/>
      <c r="M47" s="1100"/>
      <c r="N47" s="1100"/>
      <c r="O47" s="1100"/>
      <c r="P47" s="1100"/>
      <c r="Q47" s="1100"/>
      <c r="R47" s="1100"/>
      <c r="S47" s="1100"/>
      <c r="T47" s="1100"/>
      <c r="U47" s="1052"/>
    </row>
    <row r="48" spans="1:21" ht="18.75">
      <c r="A48" s="1071"/>
      <c r="B48" s="1053"/>
      <c r="C48" s="303"/>
      <c r="D48" s="1106"/>
      <c r="E48" s="1048" t="s">
        <v>1092</v>
      </c>
      <c r="F48" s="1113">
        <f>SUM(F35,F39,F47)</f>
        <v>56950</v>
      </c>
      <c r="G48" s="1089"/>
      <c r="H48" s="1114"/>
      <c r="I48" s="1100"/>
      <c r="J48" s="1100"/>
      <c r="K48" s="1100"/>
      <c r="L48" s="1100"/>
      <c r="M48" s="1100"/>
      <c r="N48" s="1100"/>
      <c r="O48" s="1100"/>
      <c r="P48" s="1100"/>
      <c r="Q48" s="1100"/>
      <c r="R48" s="1100"/>
      <c r="S48" s="1100"/>
      <c r="T48" s="1100"/>
      <c r="U48" s="1052"/>
    </row>
    <row r="49" spans="1:21" ht="18.75">
      <c r="A49" s="1387" t="s">
        <v>519</v>
      </c>
      <c r="B49" s="1387"/>
      <c r="C49" s="1387"/>
      <c r="D49" s="1387"/>
      <c r="E49" s="1387"/>
      <c r="F49" s="1072"/>
      <c r="G49" s="362"/>
      <c r="H49" s="303"/>
      <c r="I49" s="1095"/>
      <c r="J49" s="1095"/>
      <c r="K49" s="1095"/>
      <c r="L49" s="1095"/>
      <c r="M49" s="1095"/>
      <c r="N49" s="1095"/>
      <c r="O49" s="1095"/>
      <c r="P49" s="1095"/>
      <c r="Q49" s="1095"/>
      <c r="R49" s="1095"/>
      <c r="S49" s="1095"/>
      <c r="T49" s="1095"/>
      <c r="U49" s="67"/>
    </row>
    <row r="50" spans="1:21" ht="18.75">
      <c r="A50" s="77" t="s">
        <v>520</v>
      </c>
      <c r="B50" s="1053"/>
      <c r="C50" s="335"/>
      <c r="D50" s="335"/>
      <c r="E50" s="1053"/>
      <c r="F50" s="1115"/>
      <c r="G50" s="362"/>
      <c r="H50" s="303"/>
      <c r="I50" s="1095"/>
      <c r="J50" s="1095"/>
      <c r="K50" s="1095"/>
      <c r="L50" s="1095"/>
      <c r="M50" s="1095"/>
      <c r="N50" s="1095"/>
      <c r="O50" s="1095"/>
      <c r="P50" s="1095"/>
      <c r="Q50" s="1095"/>
      <c r="R50" s="1095"/>
      <c r="S50" s="1095"/>
      <c r="T50" s="1095"/>
      <c r="U50" s="67"/>
    </row>
    <row r="51" spans="1:21" s="816" customFormat="1" ht="56.25">
      <c r="A51" s="1381" t="s">
        <v>521</v>
      </c>
      <c r="B51" s="1292"/>
      <c r="C51" s="1292" t="s">
        <v>522</v>
      </c>
      <c r="D51" s="1292" t="s">
        <v>523</v>
      </c>
      <c r="E51" s="333" t="s">
        <v>1486</v>
      </c>
      <c r="F51" s="194">
        <v>8000</v>
      </c>
      <c r="G51" s="1384" t="s">
        <v>518</v>
      </c>
      <c r="H51" s="1384" t="s">
        <v>524</v>
      </c>
      <c r="I51" s="1383"/>
      <c r="J51" s="1383"/>
      <c r="K51" s="1383"/>
      <c r="L51" s="1383"/>
      <c r="M51" s="1383"/>
      <c r="N51" s="1383"/>
      <c r="O51" s="1383"/>
      <c r="P51" s="1383"/>
      <c r="Q51" s="1383">
        <v>20400</v>
      </c>
      <c r="R51" s="1383"/>
      <c r="S51" s="1383"/>
      <c r="T51" s="1383"/>
      <c r="U51" s="1384" t="s">
        <v>501</v>
      </c>
    </row>
    <row r="52" spans="1:21" s="816" customFormat="1" ht="75">
      <c r="A52" s="1381"/>
      <c r="B52" s="1292"/>
      <c r="C52" s="1292"/>
      <c r="D52" s="1292"/>
      <c r="E52" s="333" t="s">
        <v>1487</v>
      </c>
      <c r="F52" s="194">
        <v>4000</v>
      </c>
      <c r="G52" s="1384"/>
      <c r="H52" s="1384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4"/>
    </row>
    <row r="53" spans="1:21" s="816" customFormat="1" ht="75">
      <c r="A53" s="1381"/>
      <c r="B53" s="1292"/>
      <c r="C53" s="1292"/>
      <c r="D53" s="1292"/>
      <c r="E53" s="333" t="s">
        <v>1488</v>
      </c>
      <c r="F53" s="194">
        <v>8400</v>
      </c>
      <c r="G53" s="1384"/>
      <c r="H53" s="1384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4"/>
    </row>
    <row r="54" spans="1:21" s="816" customFormat="1" ht="18.75">
      <c r="A54" s="1381"/>
      <c r="B54" s="1292"/>
      <c r="C54" s="1292"/>
      <c r="D54" s="1292"/>
      <c r="E54" s="1048" t="s">
        <v>1065</v>
      </c>
      <c r="F54" s="1068">
        <f>SUM(F51:F53)</f>
        <v>20400</v>
      </c>
      <c r="G54" s="1075"/>
      <c r="H54" s="1049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49"/>
    </row>
    <row r="55" spans="1:21" s="816" customFormat="1" ht="56.25">
      <c r="A55" s="1381" t="s">
        <v>525</v>
      </c>
      <c r="B55" s="1292"/>
      <c r="C55" s="1292" t="s">
        <v>522</v>
      </c>
      <c r="D55" s="1292" t="s">
        <v>526</v>
      </c>
      <c r="E55" s="333" t="s">
        <v>1489</v>
      </c>
      <c r="F55" s="194">
        <v>18400</v>
      </c>
      <c r="G55" s="1384" t="s">
        <v>518</v>
      </c>
      <c r="H55" s="1384" t="s">
        <v>527</v>
      </c>
      <c r="I55" s="1383"/>
      <c r="J55" s="1383"/>
      <c r="K55" s="1383"/>
      <c r="L55" s="1383"/>
      <c r="M55" s="1383"/>
      <c r="N55" s="1383">
        <v>50000</v>
      </c>
      <c r="O55" s="1383"/>
      <c r="P55" s="1383"/>
      <c r="Q55" s="1383"/>
      <c r="R55" s="1383"/>
      <c r="S55" s="1383"/>
      <c r="T55" s="1383"/>
      <c r="U55" s="1384" t="s">
        <v>501</v>
      </c>
    </row>
    <row r="56" spans="1:21" s="816" customFormat="1" ht="75">
      <c r="A56" s="1381"/>
      <c r="B56" s="1292"/>
      <c r="C56" s="1292"/>
      <c r="D56" s="1292"/>
      <c r="E56" s="333" t="s">
        <v>1490</v>
      </c>
      <c r="F56" s="194">
        <v>9200</v>
      </c>
      <c r="G56" s="1384"/>
      <c r="H56" s="1384"/>
      <c r="I56" s="1383"/>
      <c r="J56" s="1383"/>
      <c r="K56" s="1383"/>
      <c r="L56" s="1383"/>
      <c r="M56" s="1383"/>
      <c r="N56" s="1383"/>
      <c r="O56" s="1383"/>
      <c r="P56" s="1383"/>
      <c r="Q56" s="1383"/>
      <c r="R56" s="1383"/>
      <c r="S56" s="1383"/>
      <c r="T56" s="1383"/>
      <c r="U56" s="1384"/>
    </row>
    <row r="57" spans="1:21" s="816" customFormat="1" ht="56.25">
      <c r="A57" s="1381"/>
      <c r="B57" s="1292"/>
      <c r="C57" s="1292"/>
      <c r="D57" s="1292"/>
      <c r="E57" s="333" t="s">
        <v>1491</v>
      </c>
      <c r="F57" s="194">
        <v>9200</v>
      </c>
      <c r="G57" s="1384"/>
      <c r="H57" s="1384"/>
      <c r="I57" s="1383"/>
      <c r="J57" s="1383"/>
      <c r="K57" s="1383"/>
      <c r="L57" s="1383"/>
      <c r="M57" s="1383"/>
      <c r="N57" s="1383"/>
      <c r="O57" s="1383"/>
      <c r="P57" s="1383"/>
      <c r="Q57" s="1383"/>
      <c r="R57" s="1383"/>
      <c r="S57" s="1383"/>
      <c r="T57" s="1383"/>
      <c r="U57" s="1384"/>
    </row>
    <row r="58" spans="1:21" s="816" customFormat="1" ht="18.75">
      <c r="A58" s="1381"/>
      <c r="B58" s="1292"/>
      <c r="C58" s="1292"/>
      <c r="D58" s="1292"/>
      <c r="E58" s="333" t="s">
        <v>1492</v>
      </c>
      <c r="F58" s="194">
        <v>6000</v>
      </c>
      <c r="G58" s="1384"/>
      <c r="H58" s="1384"/>
      <c r="I58" s="1383"/>
      <c r="J58" s="1383"/>
      <c r="K58" s="1383"/>
      <c r="L58" s="1383"/>
      <c r="M58" s="1383"/>
      <c r="N58" s="1383"/>
      <c r="O58" s="1383"/>
      <c r="P58" s="1383"/>
      <c r="Q58" s="1383"/>
      <c r="R58" s="1383"/>
      <c r="S58" s="1383"/>
      <c r="T58" s="1383"/>
      <c r="U58" s="1384"/>
    </row>
    <row r="59" spans="1:21" s="816" customFormat="1" ht="18.75">
      <c r="A59" s="1381"/>
      <c r="B59" s="1292"/>
      <c r="C59" s="1292"/>
      <c r="D59" s="1292"/>
      <c r="E59" s="1063" t="s">
        <v>1493</v>
      </c>
      <c r="F59" s="1073">
        <v>3600</v>
      </c>
      <c r="G59" s="1384"/>
      <c r="H59" s="1384"/>
      <c r="I59" s="1383"/>
      <c r="J59" s="1383"/>
      <c r="K59" s="1383"/>
      <c r="L59" s="1383"/>
      <c r="M59" s="1383"/>
      <c r="N59" s="1383"/>
      <c r="O59" s="1383"/>
      <c r="P59" s="1383"/>
      <c r="Q59" s="1383"/>
      <c r="R59" s="1383"/>
      <c r="S59" s="1383"/>
      <c r="T59" s="1383"/>
      <c r="U59" s="1384"/>
    </row>
    <row r="60" spans="1:21" s="816" customFormat="1" ht="56.25">
      <c r="A60" s="1381"/>
      <c r="B60" s="1292"/>
      <c r="C60" s="1292"/>
      <c r="D60" s="1292"/>
      <c r="E60" s="240" t="s">
        <v>1494</v>
      </c>
      <c r="F60" s="194">
        <v>3600</v>
      </c>
      <c r="G60" s="303"/>
      <c r="H60" s="303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303"/>
    </row>
    <row r="61" spans="1:21" s="816" customFormat="1" ht="18.75">
      <c r="A61" s="1381"/>
      <c r="B61" s="1292"/>
      <c r="C61" s="1292"/>
      <c r="D61" s="1292"/>
      <c r="E61" s="75" t="s">
        <v>4</v>
      </c>
      <c r="F61" s="1074">
        <f>SUM(F55:F60)</f>
        <v>50000</v>
      </c>
      <c r="G61" s="1075"/>
      <c r="H61" s="1049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049"/>
    </row>
    <row r="62" spans="1:21" s="816" customFormat="1" ht="18.75">
      <c r="A62" s="334"/>
      <c r="B62" s="240"/>
      <c r="C62" s="240"/>
      <c r="D62" s="240"/>
      <c r="E62" s="75" t="s">
        <v>139</v>
      </c>
      <c r="F62" s="1074">
        <f>SUM(F61,F54)</f>
        <v>70400</v>
      </c>
      <c r="G62" s="1075"/>
      <c r="H62" s="1049"/>
      <c r="I62" s="1101"/>
      <c r="J62" s="1101"/>
      <c r="K62" s="1101"/>
      <c r="L62" s="1101"/>
      <c r="M62" s="1101"/>
      <c r="N62" s="1101"/>
      <c r="O62" s="1101"/>
      <c r="P62" s="1101"/>
      <c r="Q62" s="1101"/>
      <c r="R62" s="1101"/>
      <c r="S62" s="1101"/>
      <c r="T62" s="1101"/>
      <c r="U62" s="1049"/>
    </row>
    <row r="63" spans="1:21" s="816" customFormat="1" ht="18.75">
      <c r="A63" s="1382" t="s">
        <v>528</v>
      </c>
      <c r="B63" s="1382"/>
      <c r="C63" s="1382"/>
      <c r="D63" s="240"/>
      <c r="E63" s="1116"/>
      <c r="F63" s="1076"/>
      <c r="G63" s="240"/>
      <c r="H63" s="3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38"/>
    </row>
    <row r="64" spans="1:21" s="816" customFormat="1" ht="75">
      <c r="A64" s="1381" t="s">
        <v>529</v>
      </c>
      <c r="B64" s="1381"/>
      <c r="C64" s="67" t="s">
        <v>530</v>
      </c>
      <c r="D64" s="67" t="s">
        <v>1520</v>
      </c>
      <c r="E64" s="240" t="s">
        <v>1495</v>
      </c>
      <c r="F64" s="194">
        <v>1200</v>
      </c>
      <c r="G64" s="303" t="s">
        <v>77</v>
      </c>
      <c r="H64" s="303" t="s">
        <v>531</v>
      </c>
      <c r="I64" s="1098"/>
      <c r="J64" s="1098"/>
      <c r="K64" s="1098">
        <f>F65</f>
        <v>1200</v>
      </c>
      <c r="L64" s="1098"/>
      <c r="M64" s="1098"/>
      <c r="N64" s="1098"/>
      <c r="O64" s="1098"/>
      <c r="P64" s="1098"/>
      <c r="Q64" s="1098"/>
      <c r="R64" s="1098"/>
      <c r="S64" s="1098"/>
      <c r="T64" s="1098"/>
      <c r="U64" s="303" t="s">
        <v>475</v>
      </c>
    </row>
    <row r="65" spans="1:21" s="816" customFormat="1" ht="18.75">
      <c r="A65" s="334"/>
      <c r="B65" s="240"/>
      <c r="C65" s="240"/>
      <c r="D65" s="240"/>
      <c r="E65" s="75" t="s">
        <v>1065</v>
      </c>
      <c r="F65" s="1117">
        <f>SUM(F64)</f>
        <v>1200</v>
      </c>
      <c r="G65" s="1051"/>
      <c r="H65" s="1051"/>
      <c r="I65" s="1101"/>
      <c r="J65" s="1101"/>
      <c r="K65" s="1101"/>
      <c r="L65" s="1101"/>
      <c r="M65" s="1101"/>
      <c r="N65" s="1101"/>
      <c r="O65" s="1101"/>
      <c r="P65" s="1101"/>
      <c r="Q65" s="1101"/>
      <c r="R65" s="1101"/>
      <c r="S65" s="1101"/>
      <c r="T65" s="1101"/>
      <c r="U65" s="1051"/>
    </row>
    <row r="66" spans="1:21" s="816" customFormat="1" ht="57.75" customHeight="1">
      <c r="A66" s="333" t="s">
        <v>532</v>
      </c>
      <c r="B66" s="67"/>
      <c r="C66" s="67" t="s">
        <v>533</v>
      </c>
      <c r="D66" s="67" t="s">
        <v>534</v>
      </c>
      <c r="E66" s="333"/>
      <c r="F66" s="194"/>
      <c r="G66" s="67" t="s">
        <v>77</v>
      </c>
      <c r="H66" s="67" t="s">
        <v>535</v>
      </c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303" t="s">
        <v>505</v>
      </c>
    </row>
    <row r="67" spans="1:21" s="816" customFormat="1" ht="43.5" customHeight="1">
      <c r="A67" s="334"/>
      <c r="B67" s="240"/>
      <c r="C67" s="240" t="s">
        <v>536</v>
      </c>
      <c r="D67" s="240" t="s">
        <v>537</v>
      </c>
      <c r="E67" s="333" t="s">
        <v>1518</v>
      </c>
      <c r="F67" s="61">
        <v>3240</v>
      </c>
      <c r="G67" s="303"/>
      <c r="H67" s="303" t="s">
        <v>538</v>
      </c>
      <c r="I67" s="1098"/>
      <c r="J67" s="1098"/>
      <c r="K67" s="1098"/>
      <c r="L67" s="1098"/>
      <c r="M67" s="1119">
        <v>1440</v>
      </c>
      <c r="N67" s="1098"/>
      <c r="O67" s="1098"/>
      <c r="P67" s="1098"/>
      <c r="Q67" s="1098"/>
      <c r="R67" s="1098"/>
      <c r="S67" s="1119">
        <v>1800</v>
      </c>
      <c r="T67" s="1098"/>
      <c r="U67" s="67"/>
    </row>
    <row r="68" spans="1:21" s="816" customFormat="1" ht="75">
      <c r="A68" s="334"/>
      <c r="B68" s="240"/>
      <c r="C68" s="240" t="s">
        <v>1519</v>
      </c>
      <c r="D68" s="240" t="s">
        <v>539</v>
      </c>
      <c r="E68" s="333" t="s">
        <v>540</v>
      </c>
      <c r="F68" s="61">
        <v>6000</v>
      </c>
      <c r="G68" s="303"/>
      <c r="H68" s="303" t="s">
        <v>538</v>
      </c>
      <c r="I68" s="1098"/>
      <c r="J68" s="1098"/>
      <c r="K68" s="1098"/>
      <c r="L68" s="1098"/>
      <c r="M68" s="1098"/>
      <c r="N68" s="1098"/>
      <c r="O68" s="1098"/>
      <c r="P68" s="1098"/>
      <c r="Q68" s="1098"/>
      <c r="R68" s="1098"/>
      <c r="S68" s="1098">
        <v>6000</v>
      </c>
      <c r="T68" s="1098"/>
      <c r="U68" s="67"/>
    </row>
    <row r="69" spans="1:21" s="816" customFormat="1" ht="18.75">
      <c r="A69" s="334"/>
      <c r="B69" s="240"/>
      <c r="C69" s="240"/>
      <c r="D69" s="240"/>
      <c r="E69" s="75" t="s">
        <v>1065</v>
      </c>
      <c r="F69" s="1057">
        <f>SUM(F67:F68)</f>
        <v>9240</v>
      </c>
      <c r="G69" s="1051"/>
      <c r="H69" s="105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052"/>
    </row>
    <row r="70" spans="1:21" s="816" customFormat="1" ht="56.25">
      <c r="A70" s="1381" t="s">
        <v>541</v>
      </c>
      <c r="B70" s="1292"/>
      <c r="C70" s="1292"/>
      <c r="D70" s="1292" t="s">
        <v>542</v>
      </c>
      <c r="E70" s="333" t="s">
        <v>1496</v>
      </c>
      <c r="F70" s="194">
        <v>4500</v>
      </c>
      <c r="G70" s="1384" t="s">
        <v>77</v>
      </c>
      <c r="H70" s="1384" t="s">
        <v>543</v>
      </c>
      <c r="I70" s="1118"/>
      <c r="J70" s="1118">
        <v>42160</v>
      </c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384" t="s">
        <v>505</v>
      </c>
    </row>
    <row r="71" spans="1:21" s="816" customFormat="1" ht="56.25">
      <c r="A71" s="1381"/>
      <c r="B71" s="1292"/>
      <c r="C71" s="1292"/>
      <c r="D71" s="1292"/>
      <c r="E71" s="333" t="s">
        <v>1497</v>
      </c>
      <c r="F71" s="194">
        <v>3060</v>
      </c>
      <c r="G71" s="1384"/>
      <c r="H71" s="1384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384"/>
    </row>
    <row r="72" spans="1:21" s="816" customFormat="1" ht="56.25">
      <c r="A72" s="1381"/>
      <c r="B72" s="1292"/>
      <c r="C72" s="1292"/>
      <c r="D72" s="1292"/>
      <c r="E72" s="333" t="s">
        <v>1498</v>
      </c>
      <c r="F72" s="194">
        <v>1700</v>
      </c>
      <c r="G72" s="1384"/>
      <c r="H72" s="1384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  <c r="T72" s="1118"/>
      <c r="U72" s="1384"/>
    </row>
    <row r="73" spans="1:21" s="816" customFormat="1" ht="56.25">
      <c r="A73" s="1381"/>
      <c r="B73" s="1292"/>
      <c r="C73" s="1292"/>
      <c r="D73" s="1292"/>
      <c r="E73" s="333" t="s">
        <v>1499</v>
      </c>
      <c r="F73" s="194">
        <v>2400</v>
      </c>
      <c r="G73" s="1384"/>
      <c r="H73" s="1384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384"/>
    </row>
    <row r="74" spans="1:21" s="816" customFormat="1" ht="56.25">
      <c r="A74" s="1381"/>
      <c r="B74" s="1292"/>
      <c r="C74" s="1292"/>
      <c r="D74" s="1292"/>
      <c r="E74" s="333" t="s">
        <v>1500</v>
      </c>
      <c r="F74" s="194">
        <v>12000</v>
      </c>
      <c r="G74" s="1384"/>
      <c r="H74" s="1384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384"/>
    </row>
    <row r="75" spans="1:21" s="816" customFormat="1" ht="56.25">
      <c r="A75" s="1381"/>
      <c r="B75" s="1292"/>
      <c r="C75" s="1292"/>
      <c r="D75" s="1292"/>
      <c r="E75" s="333" t="s">
        <v>1501</v>
      </c>
      <c r="F75" s="194">
        <v>5300</v>
      </c>
      <c r="G75" s="1384"/>
      <c r="H75" s="1384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384"/>
    </row>
    <row r="76" spans="1:21" s="816" customFormat="1" ht="56.25">
      <c r="A76" s="1381"/>
      <c r="B76" s="1292"/>
      <c r="C76" s="1292"/>
      <c r="D76" s="1292"/>
      <c r="E76" s="333" t="s">
        <v>1502</v>
      </c>
      <c r="F76" s="194">
        <v>900</v>
      </c>
      <c r="G76" s="1384"/>
      <c r="H76" s="1384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384"/>
    </row>
    <row r="77" spans="1:21" s="816" customFormat="1" ht="56.25">
      <c r="A77" s="1381"/>
      <c r="B77" s="1292"/>
      <c r="C77" s="1292"/>
      <c r="D77" s="1292"/>
      <c r="E77" s="333" t="s">
        <v>1503</v>
      </c>
      <c r="F77" s="194">
        <v>7500</v>
      </c>
      <c r="G77" s="1384"/>
      <c r="H77" s="1384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  <c r="T77" s="1118"/>
      <c r="U77" s="1384"/>
    </row>
    <row r="78" spans="1:21" s="816" customFormat="1" ht="56.25">
      <c r="A78" s="1381"/>
      <c r="B78" s="1292"/>
      <c r="C78" s="1292"/>
      <c r="D78" s="1292"/>
      <c r="E78" s="333" t="s">
        <v>1504</v>
      </c>
      <c r="F78" s="194">
        <v>4800</v>
      </c>
      <c r="G78" s="303"/>
      <c r="H78" s="303"/>
      <c r="I78" s="1098"/>
      <c r="J78" s="1098"/>
      <c r="K78" s="1098"/>
      <c r="L78" s="1098"/>
      <c r="M78" s="1098"/>
      <c r="N78" s="1098"/>
      <c r="O78" s="1098"/>
      <c r="P78" s="1098"/>
      <c r="Q78" s="1098"/>
      <c r="R78" s="1098"/>
      <c r="S78" s="1098"/>
      <c r="T78" s="1098"/>
      <c r="U78" s="1384"/>
    </row>
    <row r="79" spans="1:21" s="816" customFormat="1" ht="18.75">
      <c r="A79" s="1381"/>
      <c r="B79" s="1292"/>
      <c r="C79" s="1292"/>
      <c r="D79" s="1292"/>
      <c r="E79" s="1043" t="s">
        <v>1065</v>
      </c>
      <c r="F79" s="1077">
        <f>SUM(F70:F78)</f>
        <v>42160</v>
      </c>
      <c r="G79" s="1075"/>
      <c r="H79" s="1049"/>
      <c r="I79" s="1101"/>
      <c r="J79" s="1101"/>
      <c r="K79" s="1101"/>
      <c r="L79" s="1101"/>
      <c r="M79" s="1101"/>
      <c r="N79" s="1101"/>
      <c r="O79" s="1101"/>
      <c r="P79" s="1101"/>
      <c r="Q79" s="1101"/>
      <c r="R79" s="1101"/>
      <c r="S79" s="1101"/>
      <c r="T79" s="1101"/>
      <c r="U79" s="1049"/>
    </row>
    <row r="80" spans="1:21" s="816" customFormat="1" ht="18.75">
      <c r="A80" s="334"/>
      <c r="B80" s="240"/>
      <c r="C80" s="240"/>
      <c r="D80" s="240"/>
      <c r="E80" s="1043" t="s">
        <v>1092</v>
      </c>
      <c r="F80" s="1077">
        <f>SUM(F79,F69,F65)</f>
        <v>52600</v>
      </c>
      <c r="G80" s="1075"/>
      <c r="H80" s="1049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049"/>
    </row>
    <row r="81" spans="1:21" s="816" customFormat="1" ht="18.75">
      <c r="A81" s="1382" t="s">
        <v>544</v>
      </c>
      <c r="B81" s="1382"/>
      <c r="C81" s="1382"/>
      <c r="D81" s="240"/>
      <c r="E81" s="1120"/>
      <c r="F81" s="1078"/>
      <c r="G81" s="240"/>
      <c r="H81" s="38"/>
      <c r="I81" s="1098"/>
      <c r="J81" s="1098"/>
      <c r="K81" s="1098"/>
      <c r="L81" s="1098"/>
      <c r="M81" s="1098"/>
      <c r="N81" s="1098"/>
      <c r="O81" s="1098"/>
      <c r="P81" s="1098"/>
      <c r="Q81" s="1098"/>
      <c r="R81" s="1098"/>
      <c r="S81" s="1098"/>
      <c r="T81" s="1098"/>
      <c r="U81" s="38"/>
    </row>
    <row r="82" spans="1:21" s="816" customFormat="1" ht="56.25">
      <c r="A82" s="1381" t="s">
        <v>545</v>
      </c>
      <c r="B82" s="1292"/>
      <c r="C82" s="1292" t="s">
        <v>546</v>
      </c>
      <c r="D82" s="1292" t="s">
        <v>547</v>
      </c>
      <c r="E82" s="333" t="s">
        <v>1505</v>
      </c>
      <c r="F82" s="194">
        <v>1200</v>
      </c>
      <c r="G82" s="1384" t="s">
        <v>77</v>
      </c>
      <c r="H82" s="1384" t="s">
        <v>548</v>
      </c>
      <c r="I82" s="1383"/>
      <c r="J82" s="1383"/>
      <c r="K82" s="1383"/>
      <c r="L82" s="1383"/>
      <c r="M82" s="1383"/>
      <c r="N82" s="1383"/>
      <c r="O82" s="1383"/>
      <c r="P82" s="1383"/>
      <c r="Q82" s="1383"/>
      <c r="R82" s="1383">
        <v>1800</v>
      </c>
      <c r="S82" s="1383"/>
      <c r="T82" s="1383"/>
      <c r="U82" s="1384" t="s">
        <v>475</v>
      </c>
    </row>
    <row r="83" spans="1:21" s="816" customFormat="1" ht="75">
      <c r="A83" s="1381"/>
      <c r="B83" s="1292"/>
      <c r="C83" s="1292"/>
      <c r="D83" s="1292"/>
      <c r="E83" s="333" t="s">
        <v>1506</v>
      </c>
      <c r="F83" s="194">
        <v>600</v>
      </c>
      <c r="G83" s="1384"/>
      <c r="H83" s="1384"/>
      <c r="I83" s="1383"/>
      <c r="J83" s="1383"/>
      <c r="K83" s="1383"/>
      <c r="L83" s="1383"/>
      <c r="M83" s="1383"/>
      <c r="N83" s="1383"/>
      <c r="O83" s="1383"/>
      <c r="P83" s="1383"/>
      <c r="Q83" s="1383"/>
      <c r="R83" s="1383"/>
      <c r="S83" s="1383"/>
      <c r="T83" s="1383"/>
      <c r="U83" s="1384"/>
    </row>
    <row r="84" spans="1:21" s="816" customFormat="1" ht="18.75">
      <c r="A84" s="334"/>
      <c r="B84" s="240"/>
      <c r="C84" s="303"/>
      <c r="D84" s="240"/>
      <c r="E84" s="1043" t="s">
        <v>1065</v>
      </c>
      <c r="F84" s="1047">
        <v>1800</v>
      </c>
      <c r="G84" s="1051"/>
      <c r="H84" s="1051"/>
      <c r="I84" s="1101"/>
      <c r="J84" s="1101"/>
      <c r="K84" s="1101"/>
      <c r="L84" s="1101"/>
      <c r="M84" s="1101"/>
      <c r="N84" s="1101"/>
      <c r="O84" s="1101"/>
      <c r="P84" s="1101"/>
      <c r="Q84" s="1101"/>
      <c r="R84" s="1101"/>
      <c r="S84" s="1101"/>
      <c r="T84" s="1101"/>
      <c r="U84" s="1051"/>
    </row>
    <row r="85" spans="1:21" s="816" customFormat="1" ht="56.25">
      <c r="A85" s="1381" t="s">
        <v>549</v>
      </c>
      <c r="B85" s="1292"/>
      <c r="C85" s="1292"/>
      <c r="D85" s="1292" t="s">
        <v>547</v>
      </c>
      <c r="E85" s="333" t="s">
        <v>1507</v>
      </c>
      <c r="F85" s="194">
        <v>3600</v>
      </c>
      <c r="G85" s="1384" t="s">
        <v>77</v>
      </c>
      <c r="H85" s="1384" t="s">
        <v>550</v>
      </c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>
        <v>5400</v>
      </c>
      <c r="T85" s="1383"/>
      <c r="U85" s="1384" t="s">
        <v>475</v>
      </c>
    </row>
    <row r="86" spans="1:21" s="816" customFormat="1" ht="75">
      <c r="A86" s="1381"/>
      <c r="B86" s="1292"/>
      <c r="C86" s="1292"/>
      <c r="D86" s="1292"/>
      <c r="E86" s="333" t="s">
        <v>1508</v>
      </c>
      <c r="F86" s="194">
        <v>1800</v>
      </c>
      <c r="G86" s="1384"/>
      <c r="H86" s="1384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4"/>
    </row>
    <row r="87" spans="1:21" s="816" customFormat="1" ht="18.75">
      <c r="A87" s="334"/>
      <c r="B87" s="240"/>
      <c r="C87" s="240"/>
      <c r="D87" s="240"/>
      <c r="E87" s="1043" t="s">
        <v>1065</v>
      </c>
      <c r="F87" s="1047">
        <v>5400</v>
      </c>
      <c r="G87" s="1051"/>
      <c r="H87" s="105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051"/>
    </row>
    <row r="88" spans="1:21" s="816" customFormat="1" ht="56.25">
      <c r="A88" s="1381" t="s">
        <v>551</v>
      </c>
      <c r="B88" s="1292"/>
      <c r="C88" s="1292"/>
      <c r="D88" s="1292" t="s">
        <v>547</v>
      </c>
      <c r="E88" s="333" t="s">
        <v>1509</v>
      </c>
      <c r="F88" s="194">
        <v>1200</v>
      </c>
      <c r="G88" s="1384" t="s">
        <v>77</v>
      </c>
      <c r="H88" s="1384" t="s">
        <v>552</v>
      </c>
      <c r="I88" s="1383"/>
      <c r="J88" s="1383"/>
      <c r="K88" s="1383"/>
      <c r="L88" s="1383"/>
      <c r="M88" s="1383"/>
      <c r="N88" s="1383"/>
      <c r="O88" s="1383"/>
      <c r="P88" s="1383"/>
      <c r="Q88" s="1383"/>
      <c r="R88" s="1383"/>
      <c r="S88" s="1383"/>
      <c r="T88" s="1383">
        <v>1800</v>
      </c>
      <c r="U88" s="1384" t="s">
        <v>475</v>
      </c>
    </row>
    <row r="89" spans="1:21" s="816" customFormat="1" ht="75">
      <c r="A89" s="1381"/>
      <c r="B89" s="1292"/>
      <c r="C89" s="1292"/>
      <c r="D89" s="1292"/>
      <c r="E89" s="333" t="s">
        <v>1510</v>
      </c>
      <c r="F89" s="194">
        <v>600</v>
      </c>
      <c r="G89" s="1384"/>
      <c r="H89" s="1384"/>
      <c r="I89" s="1383"/>
      <c r="J89" s="1383"/>
      <c r="K89" s="1383"/>
      <c r="L89" s="1383"/>
      <c r="M89" s="1383"/>
      <c r="N89" s="1383"/>
      <c r="O89" s="1383"/>
      <c r="P89" s="1383"/>
      <c r="Q89" s="1383"/>
      <c r="R89" s="1383"/>
      <c r="S89" s="1383"/>
      <c r="T89" s="1383"/>
      <c r="U89" s="1384"/>
    </row>
    <row r="90" spans="1:21" s="816" customFormat="1" ht="18.75">
      <c r="A90" s="334"/>
      <c r="B90" s="240"/>
      <c r="C90" s="240"/>
      <c r="D90" s="240"/>
      <c r="E90" s="1043" t="s">
        <v>1065</v>
      </c>
      <c r="F90" s="1047">
        <v>1800</v>
      </c>
      <c r="G90" s="1051"/>
      <c r="H90" s="1051"/>
      <c r="I90" s="1101"/>
      <c r="J90" s="1101"/>
      <c r="K90" s="1101"/>
      <c r="L90" s="1101"/>
      <c r="M90" s="1101"/>
      <c r="N90" s="1101"/>
      <c r="O90" s="1101"/>
      <c r="P90" s="1101"/>
      <c r="Q90" s="1101"/>
      <c r="R90" s="1101"/>
      <c r="S90" s="1101"/>
      <c r="T90" s="1101"/>
      <c r="U90" s="1051"/>
    </row>
    <row r="91" spans="1:21" s="816" customFormat="1" ht="18.75">
      <c r="A91" s="1121" t="s">
        <v>553</v>
      </c>
      <c r="B91" s="240"/>
      <c r="C91" s="240"/>
      <c r="D91" s="67"/>
      <c r="E91" s="333"/>
      <c r="F91" s="194"/>
      <c r="G91" s="303"/>
      <c r="H91" s="303"/>
      <c r="I91" s="1098"/>
      <c r="J91" s="1098"/>
      <c r="K91" s="1098"/>
      <c r="L91" s="1098"/>
      <c r="M91" s="1098"/>
      <c r="N91" s="1098"/>
      <c r="O91" s="1098"/>
      <c r="P91" s="1098"/>
      <c r="Q91" s="1098"/>
      <c r="R91" s="1098"/>
      <c r="S91" s="1098"/>
      <c r="T91" s="1098"/>
      <c r="U91" s="303"/>
    </row>
    <row r="92" spans="1:21" s="816" customFormat="1" ht="18.75">
      <c r="A92" s="334"/>
      <c r="B92" s="240"/>
      <c r="C92" s="240"/>
      <c r="D92" s="67"/>
      <c r="E92" s="1043" t="s">
        <v>1092</v>
      </c>
      <c r="F92" s="1079">
        <f>SUM(F84,F87,F90)</f>
        <v>9000</v>
      </c>
      <c r="G92" s="1051"/>
      <c r="H92" s="1051"/>
      <c r="I92" s="1101"/>
      <c r="J92" s="1101"/>
      <c r="K92" s="1101"/>
      <c r="L92" s="1101"/>
      <c r="M92" s="1101"/>
      <c r="N92" s="1101"/>
      <c r="O92" s="1101"/>
      <c r="P92" s="1101"/>
      <c r="Q92" s="1101"/>
      <c r="R92" s="1101"/>
      <c r="S92" s="1101"/>
      <c r="T92" s="1101"/>
      <c r="U92" s="1051"/>
    </row>
    <row r="93" spans="1:21" s="816" customFormat="1" ht="18.75">
      <c r="A93" s="1386" t="s">
        <v>554</v>
      </c>
      <c r="B93" s="1386"/>
      <c r="C93" s="240"/>
      <c r="D93" s="240"/>
      <c r="E93" s="333"/>
      <c r="F93" s="194"/>
      <c r="G93" s="303"/>
      <c r="H93" s="303"/>
      <c r="I93" s="1098"/>
      <c r="J93" s="1098"/>
      <c r="K93" s="1098"/>
      <c r="L93" s="1098"/>
      <c r="M93" s="1098"/>
      <c r="N93" s="1098"/>
      <c r="O93" s="1098"/>
      <c r="P93" s="1098"/>
      <c r="Q93" s="1098"/>
      <c r="R93" s="1098"/>
      <c r="S93" s="1098"/>
      <c r="T93" s="1098"/>
      <c r="U93" s="303"/>
    </row>
    <row r="94" spans="1:21" s="816" customFormat="1" ht="75">
      <c r="A94" s="1381" t="s">
        <v>555</v>
      </c>
      <c r="B94" s="1292"/>
      <c r="C94" s="1292" t="s">
        <v>556</v>
      </c>
      <c r="D94" s="1292" t="s">
        <v>557</v>
      </c>
      <c r="E94" s="333" t="s">
        <v>1511</v>
      </c>
      <c r="F94" s="194">
        <v>6000</v>
      </c>
      <c r="G94" s="303" t="s">
        <v>77</v>
      </c>
      <c r="H94" s="303" t="s">
        <v>558</v>
      </c>
      <c r="I94" s="1098"/>
      <c r="J94" s="1098"/>
      <c r="K94" s="1098"/>
      <c r="L94" s="1098"/>
      <c r="M94" s="1098"/>
      <c r="N94" s="1098">
        <v>3000</v>
      </c>
      <c r="O94" s="1098"/>
      <c r="P94" s="1098"/>
      <c r="Q94" s="1098"/>
      <c r="R94" s="1098"/>
      <c r="S94" s="1098">
        <v>3000</v>
      </c>
      <c r="T94" s="1098"/>
      <c r="U94" s="303" t="s">
        <v>505</v>
      </c>
    </row>
    <row r="95" spans="1:21" s="816" customFormat="1" ht="18.75">
      <c r="A95" s="1381"/>
      <c r="B95" s="1292"/>
      <c r="C95" s="1292"/>
      <c r="D95" s="1292"/>
      <c r="E95" s="1043" t="s">
        <v>1065</v>
      </c>
      <c r="F95" s="63">
        <f>SUM(F94:F94)</f>
        <v>6000</v>
      </c>
      <c r="G95" s="1075"/>
      <c r="H95" s="1049"/>
      <c r="I95" s="1101"/>
      <c r="J95" s="1101"/>
      <c r="K95" s="1101"/>
      <c r="L95" s="1101"/>
      <c r="M95" s="1101"/>
      <c r="N95" s="1101"/>
      <c r="O95" s="1101"/>
      <c r="P95" s="1101"/>
      <c r="Q95" s="1101"/>
      <c r="R95" s="1101"/>
      <c r="S95" s="1101"/>
      <c r="T95" s="1101"/>
      <c r="U95" s="1049"/>
    </row>
    <row r="96" spans="1:21" s="816" customFormat="1" ht="18.75">
      <c r="A96" s="1382" t="s">
        <v>559</v>
      </c>
      <c r="B96" s="1382"/>
      <c r="C96" s="1382"/>
      <c r="D96" s="1382"/>
      <c r="E96" s="1120"/>
      <c r="F96" s="1122"/>
      <c r="G96" s="303"/>
      <c r="H96" s="240"/>
      <c r="I96" s="1098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240"/>
    </row>
    <row r="97" spans="1:21" s="816" customFormat="1" ht="168.75">
      <c r="A97" s="333" t="s">
        <v>1522</v>
      </c>
      <c r="B97" s="240"/>
      <c r="C97" s="67" t="s">
        <v>560</v>
      </c>
      <c r="D97" s="67" t="s">
        <v>1524</v>
      </c>
      <c r="E97" s="334" t="s">
        <v>1512</v>
      </c>
      <c r="F97" s="1123">
        <v>240000</v>
      </c>
      <c r="G97" s="303" t="s">
        <v>518</v>
      </c>
      <c r="H97" s="240" t="s">
        <v>71</v>
      </c>
      <c r="I97" s="1098">
        <v>20000</v>
      </c>
      <c r="J97" s="1098">
        <v>20000</v>
      </c>
      <c r="K97" s="1098">
        <v>20000</v>
      </c>
      <c r="L97" s="1098">
        <v>20000</v>
      </c>
      <c r="M97" s="1098">
        <v>20000</v>
      </c>
      <c r="N97" s="1098">
        <v>20000</v>
      </c>
      <c r="O97" s="1098">
        <v>20000</v>
      </c>
      <c r="P97" s="1098">
        <v>20000</v>
      </c>
      <c r="Q97" s="1098">
        <v>20000</v>
      </c>
      <c r="R97" s="1098">
        <v>20000</v>
      </c>
      <c r="S97" s="1098">
        <v>20000</v>
      </c>
      <c r="T97" s="1098">
        <v>20000</v>
      </c>
      <c r="U97" s="240" t="s">
        <v>505</v>
      </c>
    </row>
    <row r="98" spans="1:21" s="816" customFormat="1" ht="168.75">
      <c r="A98" s="333" t="s">
        <v>1523</v>
      </c>
      <c r="B98" s="240"/>
      <c r="C98" s="67" t="s">
        <v>561</v>
      </c>
      <c r="D98" s="67" t="s">
        <v>1525</v>
      </c>
      <c r="E98" s="334" t="s">
        <v>1513</v>
      </c>
      <c r="F98" s="1123">
        <v>24000</v>
      </c>
      <c r="G98" s="240"/>
      <c r="H98" s="38"/>
      <c r="I98" s="1098"/>
      <c r="J98" s="1098"/>
      <c r="K98" s="1098">
        <v>6000</v>
      </c>
      <c r="L98" s="1098"/>
      <c r="M98" s="1098"/>
      <c r="N98" s="1098">
        <v>6000</v>
      </c>
      <c r="O98" s="1098"/>
      <c r="P98" s="1098"/>
      <c r="Q98" s="1098">
        <v>6000</v>
      </c>
      <c r="R98" s="1098"/>
      <c r="S98" s="1098"/>
      <c r="T98" s="1098">
        <v>6000</v>
      </c>
      <c r="U98" s="38"/>
    </row>
    <row r="99" spans="1:21" s="816" customFormat="1" ht="168.75">
      <c r="A99" s="334" t="s">
        <v>1514</v>
      </c>
      <c r="B99" s="240"/>
      <c r="D99" s="67" t="s">
        <v>1521</v>
      </c>
      <c r="E99" s="334" t="s">
        <v>1515</v>
      </c>
      <c r="F99" s="1123">
        <v>10000</v>
      </c>
      <c r="G99" s="240"/>
      <c r="H99" s="38"/>
      <c r="I99" s="1098"/>
      <c r="J99" s="1098">
        <v>10000</v>
      </c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38"/>
    </row>
    <row r="100" spans="1:21" s="816" customFormat="1" ht="150">
      <c r="A100" s="334" t="s">
        <v>1516</v>
      </c>
      <c r="B100" s="240"/>
      <c r="C100" s="67"/>
      <c r="D100" s="67"/>
      <c r="E100" s="334"/>
      <c r="F100" s="1122"/>
      <c r="G100" s="240"/>
      <c r="H100" s="38"/>
      <c r="I100" s="1098"/>
      <c r="J100" s="1098"/>
      <c r="K100" s="1098"/>
      <c r="L100" s="1098"/>
      <c r="M100" s="1098"/>
      <c r="N100" s="1098"/>
      <c r="O100" s="1098"/>
      <c r="P100" s="1098"/>
      <c r="Q100" s="1098"/>
      <c r="R100" s="1098"/>
      <c r="S100" s="1098"/>
      <c r="T100" s="1098"/>
      <c r="U100" s="38"/>
    </row>
    <row r="101" spans="1:21" s="816" customFormat="1" ht="37.5">
      <c r="A101" s="334"/>
      <c r="B101" s="240"/>
      <c r="C101" s="240"/>
      <c r="D101" s="240"/>
      <c r="E101" s="1043" t="s">
        <v>1065</v>
      </c>
      <c r="F101" s="1079">
        <v>274000</v>
      </c>
      <c r="G101" s="1051" t="s">
        <v>518</v>
      </c>
      <c r="H101" s="1049"/>
      <c r="I101" s="1101"/>
      <c r="J101" s="1101"/>
      <c r="K101" s="1101"/>
      <c r="L101" s="1101"/>
      <c r="M101" s="1101"/>
      <c r="N101" s="1101"/>
      <c r="O101" s="1101"/>
      <c r="P101" s="1101"/>
      <c r="Q101" s="1101"/>
      <c r="R101" s="1101"/>
      <c r="S101" s="1101"/>
      <c r="T101" s="1101"/>
      <c r="U101" s="1049"/>
    </row>
    <row r="102" spans="1:23" ht="48.75">
      <c r="A102" s="66"/>
      <c r="B102" s="66"/>
      <c r="C102" s="66"/>
      <c r="D102" s="66"/>
      <c r="E102" s="75" t="s">
        <v>1092</v>
      </c>
      <c r="F102" s="916">
        <f>SUM(I102:T102)</f>
        <v>541750</v>
      </c>
      <c r="G102" s="1080"/>
      <c r="H102" s="1056"/>
      <c r="I102" s="1102">
        <f>SUM(I8:I101)</f>
        <v>20000</v>
      </c>
      <c r="J102" s="1102">
        <f aca="true" t="shared" si="0" ref="J102:T102">SUM(J8:J101)</f>
        <v>72160</v>
      </c>
      <c r="K102" s="1102">
        <f t="shared" si="0"/>
        <v>32800</v>
      </c>
      <c r="L102" s="1102">
        <f t="shared" si="0"/>
        <v>58550</v>
      </c>
      <c r="M102" s="1102">
        <f t="shared" si="0"/>
        <v>33440</v>
      </c>
      <c r="N102" s="1102">
        <f t="shared" si="0"/>
        <v>93000</v>
      </c>
      <c r="O102" s="1102">
        <f t="shared" si="0"/>
        <v>20000</v>
      </c>
      <c r="P102" s="1102">
        <f t="shared" si="0"/>
        <v>22400</v>
      </c>
      <c r="Q102" s="1102">
        <f t="shared" si="0"/>
        <v>82400</v>
      </c>
      <c r="R102" s="1102">
        <f t="shared" si="0"/>
        <v>23400</v>
      </c>
      <c r="S102" s="1102">
        <f t="shared" si="0"/>
        <v>43400</v>
      </c>
      <c r="T102" s="1102">
        <f t="shared" si="0"/>
        <v>40200</v>
      </c>
      <c r="U102" s="1081"/>
      <c r="V102" s="60"/>
      <c r="W102" s="60"/>
    </row>
    <row r="103" spans="1:23" ht="18.75">
      <c r="A103" s="907" t="s">
        <v>140</v>
      </c>
      <c r="B103" s="815"/>
      <c r="C103" s="815"/>
      <c r="D103" s="1082"/>
      <c r="E103" s="1083"/>
      <c r="F103" s="1084"/>
      <c r="G103" s="1084"/>
      <c r="H103" s="1085"/>
      <c r="I103" s="1050"/>
      <c r="J103" s="1050"/>
      <c r="K103" s="1086"/>
      <c r="L103" s="1086"/>
      <c r="M103" s="1050"/>
      <c r="N103" s="1050"/>
      <c r="O103" s="1086"/>
      <c r="P103" s="1050"/>
      <c r="Q103" s="1086"/>
      <c r="R103" s="1086"/>
      <c r="S103" s="1086"/>
      <c r="T103" s="1092"/>
      <c r="U103" s="815"/>
      <c r="V103" s="60"/>
      <c r="W103" s="60"/>
    </row>
    <row r="104" spans="1:23" ht="18.75">
      <c r="A104" s="1385" t="s">
        <v>141</v>
      </c>
      <c r="B104" s="1385"/>
      <c r="C104" s="1385"/>
      <c r="D104" s="1385"/>
      <c r="F104" s="234"/>
      <c r="H104" s="234"/>
      <c r="J104" s="1093"/>
      <c r="T104" s="805"/>
      <c r="U104" s="815"/>
      <c r="W104" s="60"/>
    </row>
    <row r="105" spans="5:23" ht="18.75">
      <c r="E105" s="1090">
        <f>SUM(F31,F39,F65,F69,F79,F92,F95)</f>
        <v>150000</v>
      </c>
      <c r="F105" s="816" t="s">
        <v>445</v>
      </c>
      <c r="H105" s="234"/>
      <c r="J105" s="1093"/>
      <c r="T105" s="805"/>
      <c r="U105" s="815"/>
      <c r="W105" s="60"/>
    </row>
    <row r="106" spans="5:23" ht="18.75">
      <c r="E106" s="1087">
        <f>SUM(F47,F62,F101)</f>
        <v>375750</v>
      </c>
      <c r="F106" s="60" t="s">
        <v>1422</v>
      </c>
      <c r="J106" s="1093"/>
      <c r="T106" s="805"/>
      <c r="U106" s="815"/>
      <c r="W106" s="60"/>
    </row>
    <row r="107" spans="5:23" ht="18.75">
      <c r="E107" s="234">
        <f>SUM(F35)</f>
        <v>16000</v>
      </c>
      <c r="F107" s="60" t="s">
        <v>1423</v>
      </c>
      <c r="J107" s="1093"/>
      <c r="T107" s="805"/>
      <c r="U107" s="815"/>
      <c r="W107" s="60"/>
    </row>
    <row r="108" spans="5:23" ht="18.75">
      <c r="E108" s="234">
        <f>SUM(E105:E107)</f>
        <v>541750</v>
      </c>
      <c r="J108" s="1093"/>
      <c r="T108" s="805"/>
      <c r="U108" s="815"/>
      <c r="W108" s="60"/>
    </row>
    <row r="109" spans="5:23" ht="18.75">
      <c r="E109" s="1087"/>
      <c r="J109" s="1093"/>
      <c r="T109" s="805"/>
      <c r="U109" s="815"/>
      <c r="W109" s="60"/>
    </row>
    <row r="110" spans="10:23" ht="18.75">
      <c r="J110" s="1093"/>
      <c r="T110" s="805"/>
      <c r="U110" s="815"/>
      <c r="W110" s="60"/>
    </row>
    <row r="111" spans="10:23" ht="18.75">
      <c r="J111" s="1093"/>
      <c r="T111" s="805"/>
      <c r="U111" s="815"/>
      <c r="W111" s="60"/>
    </row>
  </sheetData>
  <sheetProtection/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E27:E28"/>
    <mergeCell ref="F27:F28"/>
    <mergeCell ref="N27:N28"/>
    <mergeCell ref="T27:T28"/>
    <mergeCell ref="A33:A34"/>
    <mergeCell ref="C33:C34"/>
    <mergeCell ref="R55:R59"/>
    <mergeCell ref="A49:E49"/>
    <mergeCell ref="A51:A54"/>
    <mergeCell ref="B51:B54"/>
    <mergeCell ref="C51:C54"/>
    <mergeCell ref="D51:D54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A63:C63"/>
    <mergeCell ref="K55:K59"/>
    <mergeCell ref="L55:L59"/>
    <mergeCell ref="M55:M59"/>
    <mergeCell ref="N55:N59"/>
    <mergeCell ref="O55:O59"/>
    <mergeCell ref="S82:S83"/>
    <mergeCell ref="T82:T83"/>
    <mergeCell ref="U82:U83"/>
    <mergeCell ref="O82:O83"/>
    <mergeCell ref="P82:P83"/>
    <mergeCell ref="S55:S59"/>
    <mergeCell ref="T55:T59"/>
    <mergeCell ref="U55:U59"/>
    <mergeCell ref="P55:P59"/>
    <mergeCell ref="Q55:Q59"/>
    <mergeCell ref="I82:I83"/>
    <mergeCell ref="J82:J83"/>
    <mergeCell ref="A70:A79"/>
    <mergeCell ref="B70:B79"/>
    <mergeCell ref="C70:C79"/>
    <mergeCell ref="D70:D79"/>
    <mergeCell ref="G70:G77"/>
    <mergeCell ref="H70:H77"/>
    <mergeCell ref="S88:S89"/>
    <mergeCell ref="T88:T89"/>
    <mergeCell ref="U70:U78"/>
    <mergeCell ref="A81:C81"/>
    <mergeCell ref="A82:A83"/>
    <mergeCell ref="B82:B83"/>
    <mergeCell ref="C82:C83"/>
    <mergeCell ref="D82:D83"/>
    <mergeCell ref="G82:G83"/>
    <mergeCell ref="S85:S86"/>
    <mergeCell ref="H85:H86"/>
    <mergeCell ref="I85:I86"/>
    <mergeCell ref="J85:J86"/>
    <mergeCell ref="K85:K86"/>
    <mergeCell ref="L85:L86"/>
    <mergeCell ref="M85:M86"/>
    <mergeCell ref="N85:N86"/>
    <mergeCell ref="O85:O86"/>
    <mergeCell ref="A104:D104"/>
    <mergeCell ref="A93:B93"/>
    <mergeCell ref="K88:K89"/>
    <mergeCell ref="L88:L89"/>
    <mergeCell ref="M88:M89"/>
    <mergeCell ref="R85:R86"/>
    <mergeCell ref="N88:N89"/>
    <mergeCell ref="O88:O89"/>
    <mergeCell ref="Q88:Q89"/>
    <mergeCell ref="I88:I89"/>
    <mergeCell ref="T85:T86"/>
    <mergeCell ref="U85:U86"/>
    <mergeCell ref="A88:A89"/>
    <mergeCell ref="B88:B89"/>
    <mergeCell ref="C88:C89"/>
    <mergeCell ref="D88:D89"/>
    <mergeCell ref="G88:G89"/>
    <mergeCell ref="H88:H89"/>
    <mergeCell ref="R88:R89"/>
    <mergeCell ref="U88:U89"/>
    <mergeCell ref="J88:J89"/>
    <mergeCell ref="Q82:Q83"/>
    <mergeCell ref="P85:P86"/>
    <mergeCell ref="Q85:Q86"/>
    <mergeCell ref="P88:P89"/>
    <mergeCell ref="L82:L83"/>
    <mergeCell ref="R82:R83"/>
    <mergeCell ref="A85:A86"/>
    <mergeCell ref="B85:B86"/>
    <mergeCell ref="C85:C86"/>
    <mergeCell ref="D85:D86"/>
    <mergeCell ref="G85:G86"/>
    <mergeCell ref="K82:K83"/>
    <mergeCell ref="M82:M83"/>
    <mergeCell ref="N82:N83"/>
    <mergeCell ref="H82:H83"/>
    <mergeCell ref="A64:B64"/>
    <mergeCell ref="A94:A95"/>
    <mergeCell ref="B94:B95"/>
    <mergeCell ref="C94:C95"/>
    <mergeCell ref="D94:D95"/>
    <mergeCell ref="A96:D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91"/>
  <sheetViews>
    <sheetView zoomScalePageLayoutView="0" workbookViewId="0" topLeftCell="A1">
      <selection activeCell="H2" sqref="H1:U16384"/>
    </sheetView>
  </sheetViews>
  <sheetFormatPr defaultColWidth="9.00390625" defaultRowHeight="15"/>
  <cols>
    <col min="1" max="5" width="22.57421875" style="74" customWidth="1"/>
    <col min="6" max="6" width="10.140625" style="74" bestFit="1" customWidth="1"/>
    <col min="7" max="7" width="8.421875" style="471" bestFit="1" customWidth="1"/>
    <col min="8" max="8" width="10.00390625" style="74" bestFit="1" customWidth="1"/>
    <col min="9" max="20" width="4.00390625" style="74" customWidth="1"/>
    <col min="21" max="21" width="9.57421875" style="74" customWidth="1"/>
    <col min="22" max="16384" width="9.00390625" style="74" customWidth="1"/>
  </cols>
  <sheetData>
    <row r="1" spans="1:21" ht="24">
      <c r="A1" s="1309" t="s">
        <v>210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21" ht="24">
      <c r="A2" s="1310" t="s">
        <v>211</v>
      </c>
      <c r="B2" s="1310"/>
      <c r="C2" s="1310"/>
      <c r="D2" s="1310"/>
      <c r="E2" s="236"/>
      <c r="F2" s="472"/>
      <c r="G2" s="473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24">
      <c r="A3" s="1502" t="s">
        <v>1447</v>
      </c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472"/>
      <c r="M3" s="472"/>
      <c r="N3" s="472"/>
      <c r="O3" s="472"/>
      <c r="P3" s="472"/>
      <c r="Q3" s="472"/>
      <c r="R3" s="472"/>
      <c r="S3" s="472"/>
      <c r="T3" s="472"/>
      <c r="U3" s="472"/>
    </row>
    <row r="4" spans="1:21" ht="21.75">
      <c r="A4" s="1357" t="s">
        <v>44</v>
      </c>
      <c r="B4" s="1299" t="s">
        <v>45</v>
      </c>
      <c r="C4" s="1299" t="s">
        <v>46</v>
      </c>
      <c r="D4" s="1299" t="s">
        <v>47</v>
      </c>
      <c r="E4" s="1299" t="s">
        <v>48</v>
      </c>
      <c r="F4" s="1299"/>
      <c r="G4" s="1299"/>
      <c r="H4" s="1299" t="s">
        <v>1424</v>
      </c>
      <c r="I4" s="1299" t="s">
        <v>50</v>
      </c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357" t="s">
        <v>153</v>
      </c>
    </row>
    <row r="5" spans="1:21" ht="18.75">
      <c r="A5" s="1362"/>
      <c r="B5" s="1299"/>
      <c r="C5" s="1299"/>
      <c r="D5" s="1299"/>
      <c r="E5" s="1357" t="s">
        <v>52</v>
      </c>
      <c r="F5" s="1359" t="s">
        <v>53</v>
      </c>
      <c r="G5" s="1361" t="s">
        <v>54</v>
      </c>
      <c r="H5" s="1299"/>
      <c r="I5" s="1299" t="s">
        <v>55</v>
      </c>
      <c r="J5" s="1299" t="s">
        <v>56</v>
      </c>
      <c r="K5" s="1299" t="s">
        <v>57</v>
      </c>
      <c r="L5" s="1299" t="s">
        <v>58</v>
      </c>
      <c r="M5" s="1299" t="s">
        <v>59</v>
      </c>
      <c r="N5" s="1299" t="s">
        <v>60</v>
      </c>
      <c r="O5" s="1299" t="s">
        <v>61</v>
      </c>
      <c r="P5" s="1299" t="s">
        <v>62</v>
      </c>
      <c r="Q5" s="1299" t="s">
        <v>63</v>
      </c>
      <c r="R5" s="1299" t="s">
        <v>64</v>
      </c>
      <c r="S5" s="1299" t="s">
        <v>65</v>
      </c>
      <c r="T5" s="1299" t="s">
        <v>66</v>
      </c>
      <c r="U5" s="1362"/>
    </row>
    <row r="6" spans="1:21" ht="18.75">
      <c r="A6" s="1358"/>
      <c r="B6" s="1299"/>
      <c r="C6" s="1299"/>
      <c r="D6" s="1299"/>
      <c r="E6" s="1358"/>
      <c r="F6" s="1360"/>
      <c r="G6" s="1361"/>
      <c r="H6" s="1299"/>
      <c r="I6" s="1299"/>
      <c r="J6" s="1299"/>
      <c r="K6" s="1299"/>
      <c r="L6" s="1299"/>
      <c r="M6" s="1299"/>
      <c r="N6" s="1299"/>
      <c r="O6" s="1299"/>
      <c r="P6" s="1299"/>
      <c r="Q6" s="1299"/>
      <c r="R6" s="1299"/>
      <c r="S6" s="1299"/>
      <c r="T6" s="1299"/>
      <c r="U6" s="1358"/>
    </row>
    <row r="7" spans="1:21" s="29" customFormat="1" ht="21.75">
      <c r="A7" s="1499" t="s">
        <v>212</v>
      </c>
      <c r="B7" s="1500"/>
      <c r="C7" s="1500"/>
      <c r="D7" s="1501"/>
      <c r="E7" s="80"/>
      <c r="F7" s="81"/>
      <c r="G7" s="82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83"/>
      <c r="U7" s="83"/>
    </row>
    <row r="8" spans="1:21" s="29" customFormat="1" ht="43.5">
      <c r="A8" s="1396" t="s">
        <v>213</v>
      </c>
      <c r="B8" s="1453" t="s">
        <v>214</v>
      </c>
      <c r="C8" s="1453" t="s">
        <v>215</v>
      </c>
      <c r="D8" s="1453" t="s">
        <v>216</v>
      </c>
      <c r="E8" s="84" t="s">
        <v>217</v>
      </c>
      <c r="F8" s="85">
        <f>12*80</f>
        <v>960</v>
      </c>
      <c r="G8" s="1421" t="s">
        <v>218</v>
      </c>
      <c r="H8" s="1441" t="s">
        <v>219</v>
      </c>
      <c r="I8" s="1430"/>
      <c r="J8" s="1421">
        <f>F11</f>
        <v>1700</v>
      </c>
      <c r="K8" s="1430"/>
      <c r="L8" s="1430"/>
      <c r="M8" s="1430"/>
      <c r="N8" s="1430"/>
      <c r="O8" s="1430"/>
      <c r="P8" s="1430"/>
      <c r="Q8" s="1430"/>
      <c r="R8" s="1430"/>
      <c r="S8" s="1430"/>
      <c r="T8" s="1431"/>
      <c r="U8" s="1433" t="s">
        <v>220</v>
      </c>
    </row>
    <row r="9" spans="1:21" s="29" customFormat="1" ht="65.25">
      <c r="A9" s="1410"/>
      <c r="B9" s="1454"/>
      <c r="C9" s="1454"/>
      <c r="D9" s="1454"/>
      <c r="E9" s="84" t="s">
        <v>221</v>
      </c>
      <c r="F9" s="85">
        <f>12*20</f>
        <v>240</v>
      </c>
      <c r="G9" s="1422"/>
      <c r="H9" s="1422"/>
      <c r="I9" s="1422"/>
      <c r="J9" s="1422"/>
      <c r="K9" s="1422"/>
      <c r="L9" s="1422"/>
      <c r="M9" s="1422"/>
      <c r="N9" s="1422"/>
      <c r="O9" s="1422"/>
      <c r="P9" s="1422"/>
      <c r="Q9" s="1422"/>
      <c r="R9" s="1422"/>
      <c r="S9" s="1422"/>
      <c r="T9" s="1432"/>
      <c r="U9" s="1434"/>
    </row>
    <row r="10" spans="1:21" s="29" customFormat="1" ht="21.75">
      <c r="A10" s="1410"/>
      <c r="B10" s="1454"/>
      <c r="C10" s="1454"/>
      <c r="D10" s="1454"/>
      <c r="E10" s="86" t="s">
        <v>222</v>
      </c>
      <c r="F10" s="85">
        <v>500</v>
      </c>
      <c r="G10" s="1423"/>
      <c r="H10" s="1423"/>
      <c r="I10" s="1423"/>
      <c r="J10" s="1423"/>
      <c r="K10" s="1423"/>
      <c r="L10" s="1423"/>
      <c r="M10" s="1423"/>
      <c r="N10" s="1423"/>
      <c r="O10" s="1423"/>
      <c r="P10" s="1423"/>
      <c r="Q10" s="1423"/>
      <c r="R10" s="1423"/>
      <c r="S10" s="1423"/>
      <c r="T10" s="1492"/>
      <c r="U10" s="1475"/>
    </row>
    <row r="11" spans="1:21" s="29" customFormat="1" ht="21.75">
      <c r="A11" s="1397"/>
      <c r="B11" s="1455"/>
      <c r="C11" s="1455"/>
      <c r="D11" s="1455"/>
      <c r="E11" s="87" t="s">
        <v>4</v>
      </c>
      <c r="F11" s="88">
        <f>SUM(F8:F10)</f>
        <v>1700</v>
      </c>
      <c r="G11" s="82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83"/>
      <c r="U11" s="83"/>
    </row>
    <row r="12" spans="1:21" ht="43.5">
      <c r="A12" s="1490" t="s">
        <v>223</v>
      </c>
      <c r="B12" s="1491" t="s">
        <v>224</v>
      </c>
      <c r="C12" s="1491" t="s">
        <v>225</v>
      </c>
      <c r="D12" s="1491" t="s">
        <v>226</v>
      </c>
      <c r="E12" s="84" t="s">
        <v>227</v>
      </c>
      <c r="F12" s="85">
        <f>30*80</f>
        <v>2400</v>
      </c>
      <c r="G12" s="1496" t="s">
        <v>218</v>
      </c>
      <c r="H12" s="1496" t="s">
        <v>228</v>
      </c>
      <c r="I12" s="1496"/>
      <c r="J12" s="1496"/>
      <c r="K12" s="1497">
        <f>F15</f>
        <v>4300</v>
      </c>
      <c r="L12" s="1496"/>
      <c r="M12" s="1496"/>
      <c r="N12" s="1496"/>
      <c r="O12" s="1497"/>
      <c r="P12" s="1496"/>
      <c r="Q12" s="1496"/>
      <c r="R12" s="1496"/>
      <c r="S12" s="1496"/>
      <c r="T12" s="1496"/>
      <c r="U12" s="1496" t="s">
        <v>229</v>
      </c>
    </row>
    <row r="13" spans="1:21" ht="65.25">
      <c r="A13" s="1490"/>
      <c r="B13" s="1491"/>
      <c r="C13" s="1491"/>
      <c r="D13" s="1491"/>
      <c r="E13" s="84" t="s">
        <v>230</v>
      </c>
      <c r="F13" s="85">
        <f>30*2*20</f>
        <v>1200</v>
      </c>
      <c r="G13" s="1496"/>
      <c r="H13" s="1496"/>
      <c r="I13" s="1496"/>
      <c r="J13" s="1496"/>
      <c r="K13" s="1496"/>
      <c r="L13" s="1496"/>
      <c r="M13" s="1496"/>
      <c r="N13" s="1496"/>
      <c r="O13" s="1496"/>
      <c r="P13" s="1496"/>
      <c r="Q13" s="1496"/>
      <c r="R13" s="1496"/>
      <c r="S13" s="1496"/>
      <c r="T13" s="1496"/>
      <c r="U13" s="1496"/>
    </row>
    <row r="14" spans="1:21" ht="21.75">
      <c r="A14" s="1490"/>
      <c r="B14" s="1491"/>
      <c r="C14" s="1491"/>
      <c r="D14" s="1491"/>
      <c r="E14" s="86" t="s">
        <v>222</v>
      </c>
      <c r="F14" s="85">
        <v>700</v>
      </c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</row>
    <row r="15" spans="1:21" ht="21.75">
      <c r="A15" s="1490"/>
      <c r="B15" s="1491"/>
      <c r="C15" s="1491"/>
      <c r="D15" s="1491"/>
      <c r="E15" s="87" t="s">
        <v>4</v>
      </c>
      <c r="F15" s="89">
        <f>SUM(F12:F14)</f>
        <v>4300</v>
      </c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</row>
    <row r="16" spans="1:21" ht="65.25">
      <c r="A16" s="1490" t="s">
        <v>231</v>
      </c>
      <c r="B16" s="1491" t="s">
        <v>232</v>
      </c>
      <c r="C16" s="1491" t="s">
        <v>233</v>
      </c>
      <c r="D16" s="1491" t="s">
        <v>234</v>
      </c>
      <c r="E16" s="90" t="s">
        <v>235</v>
      </c>
      <c r="F16" s="91">
        <f>9*5*120</f>
        <v>5400</v>
      </c>
      <c r="G16" s="1495" t="s">
        <v>218</v>
      </c>
      <c r="H16" s="1496" t="s">
        <v>236</v>
      </c>
      <c r="I16" s="1493"/>
      <c r="J16" s="1493"/>
      <c r="K16" s="1493"/>
      <c r="L16" s="1493"/>
      <c r="M16" s="1493"/>
      <c r="N16" s="1493"/>
      <c r="O16" s="1494">
        <f>F18</f>
        <v>5900</v>
      </c>
      <c r="P16" s="1493"/>
      <c r="Q16" s="1493"/>
      <c r="R16" s="1493"/>
      <c r="S16" s="1493"/>
      <c r="T16" s="1493"/>
      <c r="U16" s="1493"/>
    </row>
    <row r="17" spans="1:21" ht="21.75">
      <c r="A17" s="1490"/>
      <c r="B17" s="1491"/>
      <c r="C17" s="1491"/>
      <c r="D17" s="1491"/>
      <c r="E17" s="84" t="s">
        <v>237</v>
      </c>
      <c r="F17" s="91">
        <v>500</v>
      </c>
      <c r="G17" s="1495"/>
      <c r="H17" s="1496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</row>
    <row r="18" spans="1:21" ht="21.75">
      <c r="A18" s="1490"/>
      <c r="B18" s="1491"/>
      <c r="C18" s="1491"/>
      <c r="D18" s="1491"/>
      <c r="E18" s="87" t="s">
        <v>4</v>
      </c>
      <c r="F18" s="92">
        <f>SUM(F16:F17)</f>
        <v>5900</v>
      </c>
      <c r="G18" s="1495"/>
      <c r="H18" s="1496"/>
      <c r="I18" s="1493"/>
      <c r="J18" s="1493"/>
      <c r="K18" s="1493"/>
      <c r="L18" s="1493"/>
      <c r="M18" s="1493"/>
      <c r="N18" s="1493"/>
      <c r="O18" s="1493"/>
      <c r="P18" s="1493"/>
      <c r="Q18" s="1493"/>
      <c r="R18" s="1493"/>
      <c r="S18" s="1493"/>
      <c r="T18" s="1493"/>
      <c r="U18" s="1493"/>
    </row>
    <row r="19" spans="1:21" ht="65.25">
      <c r="A19" s="1498" t="s">
        <v>238</v>
      </c>
      <c r="B19" s="1491" t="s">
        <v>239</v>
      </c>
      <c r="C19" s="1491" t="s">
        <v>240</v>
      </c>
      <c r="D19" s="1491" t="s">
        <v>241</v>
      </c>
      <c r="E19" s="90" t="s">
        <v>242</v>
      </c>
      <c r="F19" s="91">
        <f>4*120</f>
        <v>480</v>
      </c>
      <c r="G19" s="271" t="s">
        <v>218</v>
      </c>
      <c r="H19" s="272" t="s">
        <v>228</v>
      </c>
      <c r="I19" s="270"/>
      <c r="J19" s="270"/>
      <c r="K19" s="93">
        <f>F19</f>
        <v>480</v>
      </c>
      <c r="L19" s="270"/>
      <c r="M19" s="270"/>
      <c r="N19" s="270"/>
      <c r="O19" s="270"/>
      <c r="P19" s="270"/>
      <c r="Q19" s="270"/>
      <c r="R19" s="270"/>
      <c r="S19" s="270"/>
      <c r="T19" s="270"/>
      <c r="U19" s="270"/>
    </row>
    <row r="20" spans="1:21" ht="21.75">
      <c r="A20" s="1498"/>
      <c r="B20" s="1491"/>
      <c r="C20" s="1491"/>
      <c r="D20" s="1491"/>
      <c r="E20" s="87" t="s">
        <v>4</v>
      </c>
      <c r="F20" s="92">
        <f>SUM(F19)</f>
        <v>480</v>
      </c>
      <c r="G20" s="271"/>
      <c r="H20" s="272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</row>
    <row r="21" spans="1:21" ht="65.25">
      <c r="A21" s="1490" t="s">
        <v>243</v>
      </c>
      <c r="B21" s="1491" t="s">
        <v>244</v>
      </c>
      <c r="C21" s="1491" t="s">
        <v>245</v>
      </c>
      <c r="D21" s="1491" t="s">
        <v>234</v>
      </c>
      <c r="E21" s="84" t="s">
        <v>246</v>
      </c>
      <c r="F21" s="85">
        <f>30*80</f>
        <v>2400</v>
      </c>
      <c r="G21" s="1495" t="s">
        <v>218</v>
      </c>
      <c r="H21" s="1496" t="s">
        <v>247</v>
      </c>
      <c r="I21" s="1494">
        <f>F24/2</f>
        <v>2200</v>
      </c>
      <c r="J21" s="1493"/>
      <c r="K21" s="1493"/>
      <c r="L21" s="1493"/>
      <c r="M21" s="1493"/>
      <c r="N21" s="1494">
        <f>F24/2</f>
        <v>2200</v>
      </c>
      <c r="O21" s="1494"/>
      <c r="P21" s="1493"/>
      <c r="Q21" s="1493"/>
      <c r="R21" s="1493"/>
      <c r="S21" s="1493"/>
      <c r="T21" s="1493"/>
      <c r="U21" s="1493"/>
    </row>
    <row r="22" spans="1:21" ht="65.25">
      <c r="A22" s="1490"/>
      <c r="B22" s="1491"/>
      <c r="C22" s="1491"/>
      <c r="D22" s="1491"/>
      <c r="E22" s="84" t="s">
        <v>248</v>
      </c>
      <c r="F22" s="85">
        <f>30*20</f>
        <v>600</v>
      </c>
      <c r="G22" s="1495"/>
      <c r="H22" s="1496"/>
      <c r="I22" s="1493"/>
      <c r="J22" s="1493"/>
      <c r="K22" s="1493"/>
      <c r="L22" s="1493"/>
      <c r="M22" s="1493"/>
      <c r="N22" s="1493"/>
      <c r="O22" s="1494"/>
      <c r="P22" s="1493"/>
      <c r="Q22" s="1493"/>
      <c r="R22" s="1493"/>
      <c r="S22" s="1493"/>
      <c r="T22" s="1493"/>
      <c r="U22" s="1493"/>
    </row>
    <row r="23" spans="1:21" ht="21.75">
      <c r="A23" s="1490"/>
      <c r="B23" s="1491"/>
      <c r="C23" s="1491"/>
      <c r="D23" s="1491"/>
      <c r="E23" s="86" t="s">
        <v>249</v>
      </c>
      <c r="F23" s="85">
        <v>1400</v>
      </c>
      <c r="G23" s="1495"/>
      <c r="H23" s="1496"/>
      <c r="I23" s="1493"/>
      <c r="J23" s="1493"/>
      <c r="K23" s="1493"/>
      <c r="L23" s="1493"/>
      <c r="M23" s="1493"/>
      <c r="N23" s="1493"/>
      <c r="O23" s="1494"/>
      <c r="P23" s="1493"/>
      <c r="Q23" s="1493"/>
      <c r="R23" s="1493"/>
      <c r="S23" s="1493"/>
      <c r="T23" s="1493"/>
      <c r="U23" s="1493"/>
    </row>
    <row r="24" spans="1:21" ht="21.75">
      <c r="A24" s="1490"/>
      <c r="B24" s="1491"/>
      <c r="C24" s="1491"/>
      <c r="D24" s="1491"/>
      <c r="E24" s="87" t="s">
        <v>4</v>
      </c>
      <c r="F24" s="92">
        <f>SUM(F21:F23)</f>
        <v>4400</v>
      </c>
      <c r="G24" s="1495"/>
      <c r="H24" s="1496"/>
      <c r="I24" s="1493"/>
      <c r="J24" s="1493"/>
      <c r="K24" s="1493"/>
      <c r="L24" s="1493"/>
      <c r="M24" s="1493"/>
      <c r="N24" s="1493"/>
      <c r="O24" s="1493"/>
      <c r="P24" s="1493"/>
      <c r="Q24" s="1493"/>
      <c r="R24" s="1493"/>
      <c r="S24" s="1493"/>
      <c r="T24" s="1493"/>
      <c r="U24" s="1493"/>
    </row>
    <row r="25" spans="1:21" ht="21.75">
      <c r="A25" s="1460" t="s">
        <v>250</v>
      </c>
      <c r="B25" s="1461"/>
      <c r="C25" s="1461"/>
      <c r="D25" s="1461"/>
      <c r="E25" s="1462"/>
      <c r="F25" s="81"/>
      <c r="G25" s="82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83"/>
      <c r="U25" s="83"/>
    </row>
    <row r="26" spans="1:21" ht="43.5">
      <c r="A26" s="1396" t="s">
        <v>251</v>
      </c>
      <c r="B26" s="1453" t="s">
        <v>252</v>
      </c>
      <c r="C26" s="1438" t="s">
        <v>253</v>
      </c>
      <c r="D26" s="1438" t="s">
        <v>254</v>
      </c>
      <c r="E26" s="84" t="s">
        <v>255</v>
      </c>
      <c r="F26" s="85">
        <v>7200</v>
      </c>
      <c r="G26" s="1430" t="s">
        <v>218</v>
      </c>
      <c r="H26" s="1441">
        <v>22612</v>
      </c>
      <c r="I26" s="1430"/>
      <c r="J26" s="1421">
        <v>38600</v>
      </c>
      <c r="K26" s="1430"/>
      <c r="L26" s="1430"/>
      <c r="M26" s="1430"/>
      <c r="N26" s="1430"/>
      <c r="O26" s="1430"/>
      <c r="P26" s="1430"/>
      <c r="Q26" s="1430"/>
      <c r="R26" s="1430"/>
      <c r="S26" s="1430"/>
      <c r="T26" s="1431"/>
      <c r="U26" s="1433" t="s">
        <v>220</v>
      </c>
    </row>
    <row r="27" spans="1:21" ht="65.25">
      <c r="A27" s="1410"/>
      <c r="B27" s="1454"/>
      <c r="C27" s="1439"/>
      <c r="D27" s="1439"/>
      <c r="E27" s="84" t="s">
        <v>256</v>
      </c>
      <c r="F27" s="85">
        <v>3600</v>
      </c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32"/>
      <c r="U27" s="1434"/>
    </row>
    <row r="28" spans="1:21" ht="87">
      <c r="A28" s="1410"/>
      <c r="B28" s="1454"/>
      <c r="C28" s="1439"/>
      <c r="D28" s="1439"/>
      <c r="E28" s="84" t="s">
        <v>257</v>
      </c>
      <c r="F28" s="85">
        <v>16800</v>
      </c>
      <c r="G28" s="1422"/>
      <c r="H28" s="1422"/>
      <c r="I28" s="1422"/>
      <c r="J28" s="1422"/>
      <c r="K28" s="1422"/>
      <c r="L28" s="1422"/>
      <c r="M28" s="1422"/>
      <c r="N28" s="1422"/>
      <c r="O28" s="1422"/>
      <c r="P28" s="1422"/>
      <c r="Q28" s="1422"/>
      <c r="R28" s="1422"/>
      <c r="S28" s="1422"/>
      <c r="T28" s="1432"/>
      <c r="U28" s="1434"/>
    </row>
    <row r="29" spans="1:21" ht="43.5">
      <c r="A29" s="1410"/>
      <c r="B29" s="1454"/>
      <c r="C29" s="1439"/>
      <c r="D29" s="1439"/>
      <c r="E29" s="269" t="s">
        <v>258</v>
      </c>
      <c r="F29" s="85">
        <v>1500</v>
      </c>
      <c r="G29" s="1422"/>
      <c r="H29" s="1422"/>
      <c r="I29" s="1422"/>
      <c r="J29" s="1422"/>
      <c r="K29" s="1422"/>
      <c r="L29" s="1422"/>
      <c r="M29" s="1422"/>
      <c r="N29" s="1422"/>
      <c r="O29" s="1422"/>
      <c r="P29" s="1422"/>
      <c r="Q29" s="1422"/>
      <c r="R29" s="1422"/>
      <c r="S29" s="1422"/>
      <c r="T29" s="1432"/>
      <c r="U29" s="1434"/>
    </row>
    <row r="30" spans="1:21" ht="43.5">
      <c r="A30" s="1410"/>
      <c r="B30" s="1454"/>
      <c r="C30" s="1439"/>
      <c r="D30" s="1439"/>
      <c r="E30" s="269" t="s">
        <v>259</v>
      </c>
      <c r="F30" s="85">
        <v>4500</v>
      </c>
      <c r="G30" s="1422"/>
      <c r="H30" s="1422"/>
      <c r="I30" s="1422"/>
      <c r="J30" s="1422"/>
      <c r="K30" s="1422"/>
      <c r="L30" s="1422"/>
      <c r="M30" s="1422"/>
      <c r="N30" s="1422"/>
      <c r="O30" s="1422"/>
      <c r="P30" s="1422"/>
      <c r="Q30" s="1422"/>
      <c r="R30" s="1422"/>
      <c r="S30" s="1422"/>
      <c r="T30" s="1432"/>
      <c r="U30" s="1434"/>
    </row>
    <row r="31" spans="1:21" ht="21.75">
      <c r="A31" s="1410"/>
      <c r="B31" s="1454"/>
      <c r="C31" s="1439"/>
      <c r="D31" s="1439"/>
      <c r="E31" s="86" t="s">
        <v>222</v>
      </c>
      <c r="F31" s="85">
        <v>5000</v>
      </c>
      <c r="G31" s="1423"/>
      <c r="H31" s="1423"/>
      <c r="I31" s="1423"/>
      <c r="J31" s="1423"/>
      <c r="K31" s="1423"/>
      <c r="L31" s="1423"/>
      <c r="M31" s="1423"/>
      <c r="N31" s="1423"/>
      <c r="O31" s="1423"/>
      <c r="P31" s="1423"/>
      <c r="Q31" s="1423"/>
      <c r="R31" s="1423"/>
      <c r="S31" s="1423"/>
      <c r="T31" s="1492"/>
      <c r="U31" s="1475"/>
    </row>
    <row r="32" spans="1:21" ht="21.75">
      <c r="A32" s="1397"/>
      <c r="B32" s="1455"/>
      <c r="C32" s="1440"/>
      <c r="D32" s="1440"/>
      <c r="E32" s="87" t="s">
        <v>4</v>
      </c>
      <c r="F32" s="94">
        <v>38600</v>
      </c>
      <c r="G32" s="82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83"/>
      <c r="U32" s="83"/>
    </row>
    <row r="33" spans="1:21" ht="114.75">
      <c r="A33" s="95" t="s">
        <v>260</v>
      </c>
      <c r="B33" s="257" t="s">
        <v>261</v>
      </c>
      <c r="C33" s="269" t="s">
        <v>262</v>
      </c>
      <c r="D33" s="257" t="s">
        <v>263</v>
      </c>
      <c r="E33" s="90" t="s">
        <v>264</v>
      </c>
      <c r="F33" s="85">
        <v>6000</v>
      </c>
      <c r="G33" s="96" t="s">
        <v>218</v>
      </c>
      <c r="H33" s="270" t="s">
        <v>265</v>
      </c>
      <c r="I33" s="270"/>
      <c r="J33" s="270"/>
      <c r="K33" s="93">
        <v>3000</v>
      </c>
      <c r="L33" s="270"/>
      <c r="M33" s="270"/>
      <c r="N33" s="270"/>
      <c r="O33" s="270"/>
      <c r="P33" s="270">
        <v>3000</v>
      </c>
      <c r="Q33" s="270"/>
      <c r="R33" s="270"/>
      <c r="S33" s="270"/>
      <c r="T33" s="97"/>
      <c r="U33" s="97" t="s">
        <v>229</v>
      </c>
    </row>
    <row r="34" spans="1:21" s="470" customFormat="1" ht="21.75">
      <c r="A34" s="1460" t="s">
        <v>266</v>
      </c>
      <c r="B34" s="1461"/>
      <c r="C34" s="1461"/>
      <c r="D34" s="1461"/>
      <c r="E34" s="1462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87">
      <c r="A35" s="268" t="s">
        <v>267</v>
      </c>
      <c r="B35" s="102" t="s">
        <v>268</v>
      </c>
      <c r="C35" s="257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270" t="s">
        <v>272</v>
      </c>
      <c r="I35" s="270"/>
      <c r="J35" s="270"/>
      <c r="K35" s="270"/>
      <c r="L35" s="270"/>
      <c r="M35" s="270"/>
      <c r="N35" s="270"/>
      <c r="O35" s="270"/>
      <c r="P35" s="270">
        <v>7200</v>
      </c>
      <c r="Q35" s="270"/>
      <c r="R35" s="270"/>
      <c r="S35" s="270"/>
      <c r="T35" s="97"/>
      <c r="U35" s="97" t="s">
        <v>273</v>
      </c>
    </row>
    <row r="36" spans="1:21" s="470" customFormat="1" ht="21.75">
      <c r="A36" s="1460" t="s">
        <v>274</v>
      </c>
      <c r="B36" s="1461"/>
      <c r="C36" s="1461"/>
      <c r="D36" s="1461"/>
      <c r="E36" s="1462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87">
      <c r="A37" s="268" t="s">
        <v>275</v>
      </c>
      <c r="B37" s="102" t="s">
        <v>276</v>
      </c>
      <c r="C37" s="267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270"/>
      <c r="J37" s="270"/>
      <c r="K37" s="270"/>
      <c r="L37" s="270"/>
      <c r="M37" s="270"/>
      <c r="N37" s="270"/>
      <c r="O37" s="270"/>
      <c r="P37" s="270">
        <v>7200</v>
      </c>
      <c r="Q37" s="270"/>
      <c r="R37" s="270"/>
      <c r="S37" s="270"/>
      <c r="T37" s="97"/>
      <c r="U37" s="97" t="s">
        <v>229</v>
      </c>
    </row>
    <row r="38" spans="1:21" ht="21.75">
      <c r="A38" s="1463" t="s">
        <v>279</v>
      </c>
      <c r="B38" s="1464"/>
      <c r="C38" s="1464"/>
      <c r="D38" s="1464"/>
      <c r="E38" s="1465"/>
      <c r="F38" s="81"/>
      <c r="G38" s="82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83"/>
      <c r="U38" s="83"/>
    </row>
    <row r="39" spans="1:21" ht="87">
      <c r="A39" s="268" t="s">
        <v>280</v>
      </c>
      <c r="B39" s="102" t="s">
        <v>268</v>
      </c>
      <c r="C39" s="267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270" t="s">
        <v>283</v>
      </c>
      <c r="I39" s="270"/>
      <c r="J39" s="270"/>
      <c r="K39" s="270"/>
      <c r="L39" s="270"/>
      <c r="M39" s="270"/>
      <c r="N39" s="93">
        <v>7200</v>
      </c>
      <c r="O39" s="270"/>
      <c r="P39" s="270"/>
      <c r="Q39" s="270"/>
      <c r="R39" s="270"/>
      <c r="S39" s="270"/>
      <c r="T39" s="97"/>
      <c r="U39" s="97" t="s">
        <v>229</v>
      </c>
    </row>
    <row r="40" spans="1:21" ht="21.75">
      <c r="A40" s="1463" t="s">
        <v>284</v>
      </c>
      <c r="B40" s="1464"/>
      <c r="C40" s="1464"/>
      <c r="D40" s="1464"/>
      <c r="E40" s="1465"/>
      <c r="F40" s="81"/>
      <c r="G40" s="82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97"/>
      <c r="U40" s="97"/>
    </row>
    <row r="41" spans="1:21" ht="43.5">
      <c r="A41" s="1466" t="s">
        <v>285</v>
      </c>
      <c r="B41" s="1469" t="s">
        <v>286</v>
      </c>
      <c r="C41" s="1472" t="s">
        <v>287</v>
      </c>
      <c r="D41" s="1438" t="s">
        <v>288</v>
      </c>
      <c r="E41" s="84" t="s">
        <v>227</v>
      </c>
      <c r="F41" s="106">
        <v>2400</v>
      </c>
      <c r="G41" s="1487" t="s">
        <v>218</v>
      </c>
      <c r="H41" s="1430"/>
      <c r="I41" s="1430"/>
      <c r="J41" s="1430"/>
      <c r="K41" s="1430"/>
      <c r="L41" s="1430"/>
      <c r="M41" s="1421">
        <v>5400</v>
      </c>
      <c r="N41" s="1430"/>
      <c r="O41" s="1430"/>
      <c r="P41" s="1421"/>
      <c r="Q41" s="1430"/>
      <c r="R41" s="1430"/>
      <c r="S41" s="1430"/>
      <c r="T41" s="1433"/>
      <c r="U41" s="1433" t="s">
        <v>273</v>
      </c>
    </row>
    <row r="42" spans="1:21" ht="65.25">
      <c r="A42" s="1467"/>
      <c r="B42" s="1470"/>
      <c r="C42" s="1473"/>
      <c r="D42" s="1439"/>
      <c r="E42" s="84" t="s">
        <v>289</v>
      </c>
      <c r="F42" s="107">
        <v>1200</v>
      </c>
      <c r="G42" s="1488"/>
      <c r="H42" s="1422"/>
      <c r="I42" s="1422"/>
      <c r="J42" s="1422"/>
      <c r="K42" s="1422"/>
      <c r="L42" s="1422"/>
      <c r="M42" s="1485"/>
      <c r="N42" s="1422"/>
      <c r="O42" s="1422"/>
      <c r="P42" s="1485"/>
      <c r="Q42" s="1422"/>
      <c r="R42" s="1422"/>
      <c r="S42" s="1422"/>
      <c r="T42" s="1434"/>
      <c r="U42" s="1434"/>
    </row>
    <row r="43" spans="1:21" ht="87">
      <c r="A43" s="1467"/>
      <c r="B43" s="1470"/>
      <c r="C43" s="1473"/>
      <c r="D43" s="1439"/>
      <c r="E43" s="84" t="s">
        <v>290</v>
      </c>
      <c r="F43" s="107">
        <v>1800</v>
      </c>
      <c r="G43" s="1489"/>
      <c r="H43" s="1423"/>
      <c r="I43" s="1423"/>
      <c r="J43" s="1423"/>
      <c r="K43" s="1423"/>
      <c r="L43" s="1423"/>
      <c r="M43" s="1486"/>
      <c r="N43" s="1423"/>
      <c r="O43" s="1423"/>
      <c r="P43" s="1486"/>
      <c r="Q43" s="1423"/>
      <c r="R43" s="1423"/>
      <c r="S43" s="1423"/>
      <c r="T43" s="1475"/>
      <c r="U43" s="1475"/>
    </row>
    <row r="44" spans="1:21" ht="21.75">
      <c r="A44" s="1468"/>
      <c r="B44" s="1471"/>
      <c r="C44" s="1474"/>
      <c r="D44" s="1440"/>
      <c r="E44" s="87" t="s">
        <v>4</v>
      </c>
      <c r="F44" s="94">
        <v>5400</v>
      </c>
      <c r="G44" s="82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97"/>
      <c r="U44" s="97"/>
    </row>
    <row r="45" spans="1:21" ht="21.75">
      <c r="A45" s="1476" t="s">
        <v>291</v>
      </c>
      <c r="B45" s="1477"/>
      <c r="C45" s="1477"/>
      <c r="D45" s="1477"/>
      <c r="E45" s="1478"/>
      <c r="F45" s="81"/>
      <c r="G45" s="82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83"/>
      <c r="U45" s="83"/>
    </row>
    <row r="46" spans="1:21" ht="87">
      <c r="A46" s="108" t="s">
        <v>292</v>
      </c>
      <c r="B46" s="109" t="s">
        <v>293</v>
      </c>
      <c r="C46" s="267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270" t="s">
        <v>283</v>
      </c>
      <c r="I46" s="270"/>
      <c r="J46" s="270"/>
      <c r="K46" s="270"/>
      <c r="L46" s="270"/>
      <c r="M46" s="270"/>
      <c r="N46" s="93">
        <v>7200</v>
      </c>
      <c r="O46" s="270"/>
      <c r="P46" s="270"/>
      <c r="Q46" s="270"/>
      <c r="R46" s="270"/>
      <c r="S46" s="270"/>
      <c r="T46" s="97"/>
      <c r="U46" s="97" t="s">
        <v>229</v>
      </c>
    </row>
    <row r="47" spans="1:21" ht="21.75">
      <c r="A47" s="1479" t="s">
        <v>294</v>
      </c>
      <c r="B47" s="1480"/>
      <c r="C47" s="1480"/>
      <c r="D47" s="1480"/>
      <c r="E47" s="1481"/>
      <c r="F47" s="81"/>
      <c r="G47" s="82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83"/>
      <c r="U47" s="83"/>
    </row>
    <row r="48" spans="1:21" ht="130.5">
      <c r="A48" s="268" t="s">
        <v>295</v>
      </c>
      <c r="B48" s="102" t="s">
        <v>296</v>
      </c>
      <c r="C48" s="269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270" t="s">
        <v>300</v>
      </c>
      <c r="I48" s="270"/>
      <c r="J48" s="270"/>
      <c r="K48" s="270">
        <v>600</v>
      </c>
      <c r="L48" s="270">
        <v>600</v>
      </c>
      <c r="M48" s="270">
        <v>600</v>
      </c>
      <c r="N48" s="270">
        <v>600</v>
      </c>
      <c r="O48" s="270"/>
      <c r="P48" s="270"/>
      <c r="Q48" s="270">
        <v>600</v>
      </c>
      <c r="R48" s="270">
        <v>600</v>
      </c>
      <c r="S48" s="270"/>
      <c r="T48" s="97"/>
      <c r="U48" s="97" t="s">
        <v>229</v>
      </c>
    </row>
    <row r="49" spans="1:21" ht="21.75">
      <c r="A49" s="1482" t="s">
        <v>301</v>
      </c>
      <c r="B49" s="1483"/>
      <c r="C49" s="1483"/>
      <c r="D49" s="1483"/>
      <c r="E49" s="1484"/>
      <c r="F49" s="110"/>
      <c r="G49" s="111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6"/>
      <c r="U49" s="256"/>
    </row>
    <row r="50" spans="1:21" ht="43.5">
      <c r="A50" s="1451" t="s">
        <v>302</v>
      </c>
      <c r="B50" s="1398" t="s">
        <v>303</v>
      </c>
      <c r="C50" s="1398" t="s">
        <v>304</v>
      </c>
      <c r="D50" s="1442" t="s">
        <v>305</v>
      </c>
      <c r="E50" s="84" t="s">
        <v>306</v>
      </c>
      <c r="F50" s="112">
        <v>32000</v>
      </c>
      <c r="G50" s="1443" t="s">
        <v>282</v>
      </c>
      <c r="H50" s="1446" t="s">
        <v>307</v>
      </c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6">
        <v>293200</v>
      </c>
      <c r="T50" s="1428"/>
      <c r="U50" s="1457" t="s">
        <v>229</v>
      </c>
    </row>
    <row r="51" spans="1:21" ht="43.5">
      <c r="A51" s="1452"/>
      <c r="B51" s="1411"/>
      <c r="C51" s="1411"/>
      <c r="D51" s="1442"/>
      <c r="E51" s="84" t="s">
        <v>308</v>
      </c>
      <c r="F51" s="113">
        <v>20000</v>
      </c>
      <c r="G51" s="1444"/>
      <c r="H51" s="1447"/>
      <c r="I51" s="1425"/>
      <c r="J51" s="1425"/>
      <c r="K51" s="1425"/>
      <c r="L51" s="1425"/>
      <c r="M51" s="1425"/>
      <c r="N51" s="1425"/>
      <c r="O51" s="1425"/>
      <c r="P51" s="1425"/>
      <c r="Q51" s="1425"/>
      <c r="R51" s="1425"/>
      <c r="S51" s="1427"/>
      <c r="T51" s="1429"/>
      <c r="U51" s="1458"/>
    </row>
    <row r="52" spans="1:21" ht="65.25">
      <c r="A52" s="1452"/>
      <c r="B52" s="1411"/>
      <c r="C52" s="1411"/>
      <c r="D52" s="1442"/>
      <c r="E52" s="84" t="s">
        <v>309</v>
      </c>
      <c r="F52" s="112">
        <v>16000</v>
      </c>
      <c r="G52" s="1444"/>
      <c r="H52" s="1447"/>
      <c r="I52" s="1425"/>
      <c r="J52" s="1425"/>
      <c r="K52" s="1425"/>
      <c r="L52" s="1425"/>
      <c r="M52" s="1425"/>
      <c r="N52" s="1425"/>
      <c r="O52" s="1425"/>
      <c r="P52" s="1425"/>
      <c r="Q52" s="1425"/>
      <c r="R52" s="1425"/>
      <c r="S52" s="1427"/>
      <c r="T52" s="1429"/>
      <c r="U52" s="1458"/>
    </row>
    <row r="53" spans="1:21" ht="43.5">
      <c r="A53" s="1452"/>
      <c r="B53" s="1411"/>
      <c r="C53" s="1411"/>
      <c r="D53" s="1442"/>
      <c r="E53" s="84" t="s">
        <v>310</v>
      </c>
      <c r="F53" s="112">
        <v>10000</v>
      </c>
      <c r="G53" s="1444"/>
      <c r="H53" s="1447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7"/>
      <c r="T53" s="1429"/>
      <c r="U53" s="1458"/>
    </row>
    <row r="54" spans="1:21" ht="174">
      <c r="A54" s="1452"/>
      <c r="B54" s="1411"/>
      <c r="C54" s="1411"/>
      <c r="D54" s="1442"/>
      <c r="E54" s="84" t="s">
        <v>311</v>
      </c>
      <c r="F54" s="112">
        <v>70200</v>
      </c>
      <c r="G54" s="1444"/>
      <c r="H54" s="1447"/>
      <c r="I54" s="1425"/>
      <c r="J54" s="1425"/>
      <c r="K54" s="1425"/>
      <c r="L54" s="1425"/>
      <c r="M54" s="1425"/>
      <c r="N54" s="1425"/>
      <c r="O54" s="1425"/>
      <c r="P54" s="1425"/>
      <c r="Q54" s="1425"/>
      <c r="R54" s="1425"/>
      <c r="S54" s="1427"/>
      <c r="T54" s="1429"/>
      <c r="U54" s="1458"/>
    </row>
    <row r="55" spans="1:21" ht="409.5">
      <c r="A55" s="1452"/>
      <c r="B55" s="1411"/>
      <c r="C55" s="1411"/>
      <c r="D55" s="1442"/>
      <c r="E55" s="114" t="s">
        <v>312</v>
      </c>
      <c r="F55" s="112">
        <v>98000</v>
      </c>
      <c r="G55" s="1444"/>
      <c r="H55" s="1447"/>
      <c r="I55" s="1425"/>
      <c r="J55" s="1425"/>
      <c r="K55" s="1425"/>
      <c r="L55" s="1425"/>
      <c r="M55" s="1425"/>
      <c r="N55" s="1425"/>
      <c r="O55" s="1425"/>
      <c r="P55" s="1425"/>
      <c r="Q55" s="1425"/>
      <c r="R55" s="1425"/>
      <c r="S55" s="1427"/>
      <c r="T55" s="1429"/>
      <c r="U55" s="1458"/>
    </row>
    <row r="56" spans="1:21" ht="43.5">
      <c r="A56" s="1452"/>
      <c r="B56" s="1411"/>
      <c r="C56" s="1411"/>
      <c r="D56" s="1442"/>
      <c r="E56" s="84" t="s">
        <v>313</v>
      </c>
      <c r="F56" s="112">
        <v>30000</v>
      </c>
      <c r="G56" s="1444"/>
      <c r="H56" s="1447"/>
      <c r="I56" s="1425"/>
      <c r="J56" s="1425"/>
      <c r="K56" s="1425"/>
      <c r="L56" s="1425"/>
      <c r="M56" s="1425"/>
      <c r="N56" s="1425"/>
      <c r="O56" s="1425"/>
      <c r="P56" s="1425"/>
      <c r="Q56" s="1425"/>
      <c r="R56" s="1425"/>
      <c r="S56" s="1427"/>
      <c r="T56" s="1429"/>
      <c r="U56" s="1458"/>
    </row>
    <row r="57" spans="1:21" ht="43.5">
      <c r="A57" s="1452"/>
      <c r="B57" s="1411"/>
      <c r="C57" s="1411"/>
      <c r="D57" s="1442"/>
      <c r="E57" s="84" t="s">
        <v>314</v>
      </c>
      <c r="F57" s="112">
        <v>5000</v>
      </c>
      <c r="G57" s="1444"/>
      <c r="H57" s="1447"/>
      <c r="I57" s="1425"/>
      <c r="J57" s="1425"/>
      <c r="K57" s="1425"/>
      <c r="L57" s="1425"/>
      <c r="M57" s="1425"/>
      <c r="N57" s="1425"/>
      <c r="O57" s="1425"/>
      <c r="P57" s="1425"/>
      <c r="Q57" s="1425"/>
      <c r="R57" s="1425"/>
      <c r="S57" s="1427"/>
      <c r="T57" s="1429"/>
      <c r="U57" s="1458"/>
    </row>
    <row r="58" spans="1:21" ht="43.5">
      <c r="A58" s="1452"/>
      <c r="B58" s="1411"/>
      <c r="C58" s="1411"/>
      <c r="D58" s="1442"/>
      <c r="E58" s="84" t="s">
        <v>315</v>
      </c>
      <c r="F58" s="112">
        <v>2000</v>
      </c>
      <c r="G58" s="1444"/>
      <c r="H58" s="1447"/>
      <c r="I58" s="1425"/>
      <c r="J58" s="1425"/>
      <c r="K58" s="1425"/>
      <c r="L58" s="1425"/>
      <c r="M58" s="1425"/>
      <c r="N58" s="1425"/>
      <c r="O58" s="1425"/>
      <c r="P58" s="1425"/>
      <c r="Q58" s="1425"/>
      <c r="R58" s="1425"/>
      <c r="S58" s="1427"/>
      <c r="T58" s="1429"/>
      <c r="U58" s="1458"/>
    </row>
    <row r="59" spans="1:21" ht="43.5">
      <c r="A59" s="1452"/>
      <c r="B59" s="1411"/>
      <c r="C59" s="1411"/>
      <c r="D59" s="1442"/>
      <c r="E59" s="84" t="s">
        <v>316</v>
      </c>
      <c r="F59" s="112">
        <v>10000</v>
      </c>
      <c r="G59" s="1445"/>
      <c r="H59" s="1447"/>
      <c r="I59" s="1425"/>
      <c r="J59" s="1425"/>
      <c r="K59" s="1425"/>
      <c r="L59" s="1425"/>
      <c r="M59" s="1425"/>
      <c r="N59" s="1425"/>
      <c r="O59" s="1425"/>
      <c r="P59" s="1425"/>
      <c r="Q59" s="1425"/>
      <c r="R59" s="1425"/>
      <c r="S59" s="1427"/>
      <c r="T59" s="1429"/>
      <c r="U59" s="1459"/>
    </row>
    <row r="60" spans="1:21" ht="21.75">
      <c r="A60" s="1456"/>
      <c r="B60" s="1399"/>
      <c r="C60" s="1399"/>
      <c r="D60" s="1442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1" s="147" customFormat="1" ht="21.75">
      <c r="A61" s="1448" t="s">
        <v>317</v>
      </c>
      <c r="B61" s="1449"/>
      <c r="C61" s="1449"/>
      <c r="D61" s="1449"/>
      <c r="E61" s="1450"/>
      <c r="F61" s="81"/>
      <c r="G61" s="82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83"/>
      <c r="U61" s="83"/>
    </row>
    <row r="62" spans="1:25" s="147" customFormat="1" ht="43.5">
      <c r="A62" s="1451" t="s">
        <v>318</v>
      </c>
      <c r="B62" s="1453" t="s">
        <v>319</v>
      </c>
      <c r="C62" s="1438" t="s">
        <v>320</v>
      </c>
      <c r="D62" s="1438" t="s">
        <v>321</v>
      </c>
      <c r="E62" s="84" t="s">
        <v>322</v>
      </c>
      <c r="F62" s="85">
        <v>19200</v>
      </c>
      <c r="G62" s="1430" t="s">
        <v>218</v>
      </c>
      <c r="H62" s="1441" t="s">
        <v>323</v>
      </c>
      <c r="I62" s="1430"/>
      <c r="J62" s="1421">
        <v>50800</v>
      </c>
      <c r="K62" s="1430"/>
      <c r="L62" s="1430"/>
      <c r="M62" s="1430"/>
      <c r="N62" s="1430"/>
      <c r="O62" s="1430"/>
      <c r="P62" s="1430"/>
      <c r="Q62" s="1430"/>
      <c r="R62" s="1430"/>
      <c r="S62" s="1430"/>
      <c r="T62" s="1431"/>
      <c r="U62" s="1433" t="s">
        <v>220</v>
      </c>
      <c r="W62" s="120">
        <v>120</v>
      </c>
      <c r="X62" s="120">
        <v>2</v>
      </c>
      <c r="Y62" s="120">
        <v>80</v>
      </c>
    </row>
    <row r="63" spans="1:25" s="147" customFormat="1" ht="65.25">
      <c r="A63" s="1452"/>
      <c r="B63" s="1454"/>
      <c r="C63" s="1439"/>
      <c r="D63" s="1439"/>
      <c r="E63" s="121" t="s">
        <v>324</v>
      </c>
      <c r="F63" s="85">
        <v>9600</v>
      </c>
      <c r="G63" s="1422"/>
      <c r="H63" s="1422"/>
      <c r="I63" s="1422"/>
      <c r="J63" s="1422"/>
      <c r="K63" s="1422"/>
      <c r="L63" s="1422"/>
      <c r="M63" s="1422"/>
      <c r="N63" s="1422"/>
      <c r="O63" s="1422"/>
      <c r="P63" s="1422"/>
      <c r="Q63" s="1422"/>
      <c r="R63" s="1422"/>
      <c r="S63" s="1422"/>
      <c r="T63" s="1432"/>
      <c r="U63" s="1434"/>
      <c r="W63" s="120">
        <v>120</v>
      </c>
      <c r="X63" s="120">
        <v>4</v>
      </c>
      <c r="Y63" s="120">
        <v>20</v>
      </c>
    </row>
    <row r="64" spans="1:25" s="147" customFormat="1" ht="87">
      <c r="A64" s="1452"/>
      <c r="B64" s="1454"/>
      <c r="C64" s="1439"/>
      <c r="D64" s="1439"/>
      <c r="E64" s="84" t="s">
        <v>325</v>
      </c>
      <c r="F64" s="85">
        <v>6000</v>
      </c>
      <c r="G64" s="1422"/>
      <c r="H64" s="1422"/>
      <c r="I64" s="1422"/>
      <c r="J64" s="1422"/>
      <c r="K64" s="1422"/>
      <c r="L64" s="1422"/>
      <c r="M64" s="1422"/>
      <c r="N64" s="1422"/>
      <c r="O64" s="1422"/>
      <c r="P64" s="1422"/>
      <c r="Q64" s="1422"/>
      <c r="R64" s="1422"/>
      <c r="S64" s="1422"/>
      <c r="T64" s="1432"/>
      <c r="U64" s="1434"/>
      <c r="W64" s="120">
        <v>5</v>
      </c>
      <c r="X64" s="120">
        <v>2</v>
      </c>
      <c r="Y64" s="120">
        <v>600</v>
      </c>
    </row>
    <row r="65" spans="1:25" s="147" customFormat="1" ht="43.5">
      <c r="A65" s="1452"/>
      <c r="B65" s="1454"/>
      <c r="C65" s="1439"/>
      <c r="D65" s="1439"/>
      <c r="E65" s="269" t="s">
        <v>326</v>
      </c>
      <c r="F65" s="85">
        <v>10000</v>
      </c>
      <c r="G65" s="1422"/>
      <c r="H65" s="1422"/>
      <c r="I65" s="1422"/>
      <c r="J65" s="1422"/>
      <c r="K65" s="1422"/>
      <c r="L65" s="1422"/>
      <c r="M65" s="1422"/>
      <c r="N65" s="1422"/>
      <c r="O65" s="1422"/>
      <c r="P65" s="1422"/>
      <c r="Q65" s="1422"/>
      <c r="R65" s="1422"/>
      <c r="S65" s="1422"/>
      <c r="T65" s="1432"/>
      <c r="U65" s="1434"/>
      <c r="W65" s="120">
        <v>1</v>
      </c>
      <c r="X65" s="120">
        <v>2</v>
      </c>
      <c r="Y65" s="120">
        <v>5000</v>
      </c>
    </row>
    <row r="66" spans="1:21" s="147" customFormat="1" ht="21.75">
      <c r="A66" s="1452"/>
      <c r="B66" s="1454"/>
      <c r="C66" s="1439"/>
      <c r="D66" s="1439"/>
      <c r="E66" s="269" t="s">
        <v>327</v>
      </c>
      <c r="F66" s="85">
        <v>6000</v>
      </c>
      <c r="G66" s="1422"/>
      <c r="H66" s="1422"/>
      <c r="I66" s="1422"/>
      <c r="J66" s="1422"/>
      <c r="K66" s="1422"/>
      <c r="L66" s="1422"/>
      <c r="M66" s="1422"/>
      <c r="N66" s="1422"/>
      <c r="O66" s="1422"/>
      <c r="P66" s="1422"/>
      <c r="Q66" s="1422"/>
      <c r="R66" s="1422"/>
      <c r="S66" s="1422"/>
      <c r="T66" s="1432"/>
      <c r="U66" s="1434"/>
    </row>
    <row r="67" spans="1:21" s="147" customFormat="1" ht="21.75">
      <c r="A67" s="1452"/>
      <c r="B67" s="1455"/>
      <c r="C67" s="1440"/>
      <c r="D67" s="1440"/>
      <c r="E67" s="87" t="s">
        <v>4</v>
      </c>
      <c r="F67" s="122">
        <v>50800</v>
      </c>
      <c r="G67" s="82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83"/>
      <c r="U67" s="83"/>
    </row>
    <row r="68" spans="1:21" s="147" customFormat="1" ht="21.75">
      <c r="A68" s="1435" t="s">
        <v>328</v>
      </c>
      <c r="B68" s="1436"/>
      <c r="C68" s="1436"/>
      <c r="D68" s="1436"/>
      <c r="E68" s="1437"/>
      <c r="F68" s="81"/>
      <c r="G68" s="82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83"/>
      <c r="U68" s="83"/>
    </row>
    <row r="69" spans="1:21" s="147" customFormat="1" ht="43.5">
      <c r="A69" s="1396" t="s">
        <v>329</v>
      </c>
      <c r="B69" s="1398" t="s">
        <v>330</v>
      </c>
      <c r="C69" s="1400" t="s">
        <v>331</v>
      </c>
      <c r="D69" s="1402" t="s">
        <v>332</v>
      </c>
      <c r="E69" s="123" t="s">
        <v>333</v>
      </c>
      <c r="F69" s="124">
        <v>2800</v>
      </c>
      <c r="G69" s="125"/>
      <c r="H69" s="1416" t="s">
        <v>334</v>
      </c>
      <c r="I69" s="270"/>
      <c r="J69" s="1421">
        <v>19300</v>
      </c>
      <c r="K69" s="270"/>
      <c r="L69" s="270"/>
      <c r="M69" s="270"/>
      <c r="N69" s="270"/>
      <c r="O69" s="270"/>
      <c r="P69" s="270"/>
      <c r="Q69" s="270"/>
      <c r="R69" s="270"/>
      <c r="S69" s="270"/>
      <c r="T69" s="83"/>
      <c r="U69" s="1406" t="s">
        <v>229</v>
      </c>
    </row>
    <row r="70" spans="1:21" s="147" customFormat="1" ht="65.25">
      <c r="A70" s="1410"/>
      <c r="B70" s="1411"/>
      <c r="C70" s="1412"/>
      <c r="D70" s="1420"/>
      <c r="E70" s="123" t="s">
        <v>335</v>
      </c>
      <c r="F70" s="124">
        <v>1400</v>
      </c>
      <c r="G70" s="125"/>
      <c r="H70" s="1417"/>
      <c r="I70" s="270"/>
      <c r="J70" s="1422"/>
      <c r="K70" s="270"/>
      <c r="L70" s="270"/>
      <c r="M70" s="270"/>
      <c r="N70" s="270"/>
      <c r="O70" s="270"/>
      <c r="P70" s="270"/>
      <c r="Q70" s="270"/>
      <c r="R70" s="270"/>
      <c r="S70" s="270"/>
      <c r="T70" s="83"/>
      <c r="U70" s="1408"/>
    </row>
    <row r="71" spans="1:21" s="147" customFormat="1" ht="21.75">
      <c r="A71" s="1410"/>
      <c r="B71" s="1411"/>
      <c r="C71" s="1412"/>
      <c r="D71" s="1420"/>
      <c r="E71" s="123" t="s">
        <v>336</v>
      </c>
      <c r="F71" s="85">
        <v>2000</v>
      </c>
      <c r="G71" s="1404" t="s">
        <v>218</v>
      </c>
      <c r="H71" s="1417"/>
      <c r="I71" s="270"/>
      <c r="J71" s="1422"/>
      <c r="K71" s="270"/>
      <c r="L71" s="270"/>
      <c r="M71" s="270"/>
      <c r="N71" s="270"/>
      <c r="O71" s="270"/>
      <c r="P71" s="270"/>
      <c r="Q71" s="270"/>
      <c r="R71" s="270"/>
      <c r="S71" s="270"/>
      <c r="T71" s="83"/>
      <c r="U71" s="1408"/>
    </row>
    <row r="72" spans="1:21" s="147" customFormat="1" ht="21.75">
      <c r="A72" s="1410"/>
      <c r="B72" s="1411"/>
      <c r="C72" s="1412"/>
      <c r="D72" s="1420"/>
      <c r="E72" s="123" t="s">
        <v>337</v>
      </c>
      <c r="F72" s="85">
        <v>2000</v>
      </c>
      <c r="G72" s="1409"/>
      <c r="H72" s="1417"/>
      <c r="I72" s="270"/>
      <c r="J72" s="1422"/>
      <c r="K72" s="270"/>
      <c r="L72" s="270"/>
      <c r="M72" s="270"/>
      <c r="N72" s="270"/>
      <c r="O72" s="270"/>
      <c r="P72" s="270"/>
      <c r="Q72" s="270"/>
      <c r="R72" s="270"/>
      <c r="S72" s="270"/>
      <c r="T72" s="83"/>
      <c r="U72" s="1408"/>
    </row>
    <row r="73" spans="1:21" s="147" customFormat="1" ht="43.5">
      <c r="A73" s="1410"/>
      <c r="B73" s="1411"/>
      <c r="C73" s="1412"/>
      <c r="D73" s="1420"/>
      <c r="E73" s="123" t="s">
        <v>338</v>
      </c>
      <c r="F73" s="124">
        <v>3600</v>
      </c>
      <c r="G73" s="1409"/>
      <c r="H73" s="1417"/>
      <c r="I73" s="270"/>
      <c r="J73" s="1422"/>
      <c r="K73" s="270"/>
      <c r="L73" s="270"/>
      <c r="M73" s="270"/>
      <c r="N73" s="270"/>
      <c r="O73" s="270"/>
      <c r="P73" s="270"/>
      <c r="Q73" s="270"/>
      <c r="R73" s="270"/>
      <c r="S73" s="270"/>
      <c r="T73" s="83"/>
      <c r="U73" s="1408"/>
    </row>
    <row r="74" spans="1:21" s="147" customFormat="1" ht="43.5">
      <c r="A74" s="1410"/>
      <c r="B74" s="1411"/>
      <c r="C74" s="1412"/>
      <c r="D74" s="1420"/>
      <c r="E74" s="123" t="s">
        <v>339</v>
      </c>
      <c r="F74" s="124">
        <v>1800</v>
      </c>
      <c r="G74" s="1409"/>
      <c r="H74" s="1417"/>
      <c r="I74" s="270"/>
      <c r="J74" s="1422"/>
      <c r="K74" s="270"/>
      <c r="L74" s="270"/>
      <c r="M74" s="270"/>
      <c r="N74" s="270"/>
      <c r="O74" s="270"/>
      <c r="P74" s="270"/>
      <c r="Q74" s="270"/>
      <c r="R74" s="270"/>
      <c r="S74" s="270"/>
      <c r="T74" s="83"/>
      <c r="U74" s="1408"/>
    </row>
    <row r="75" spans="1:21" s="147" customFormat="1" ht="21.75">
      <c r="A75" s="1410"/>
      <c r="B75" s="1411"/>
      <c r="C75" s="1412"/>
      <c r="D75" s="1420"/>
      <c r="E75" s="123" t="s">
        <v>340</v>
      </c>
      <c r="F75" s="124">
        <v>4000</v>
      </c>
      <c r="G75" s="1409"/>
      <c r="H75" s="1417"/>
      <c r="I75" s="270"/>
      <c r="J75" s="1422"/>
      <c r="K75" s="270"/>
      <c r="L75" s="270"/>
      <c r="M75" s="270"/>
      <c r="N75" s="270"/>
      <c r="O75" s="270"/>
      <c r="P75" s="270"/>
      <c r="Q75" s="270"/>
      <c r="R75" s="270"/>
      <c r="S75" s="270"/>
      <c r="T75" s="83"/>
      <c r="U75" s="1408"/>
    </row>
    <row r="76" spans="1:25" s="144" customFormat="1" ht="43.5">
      <c r="A76" s="1397"/>
      <c r="B76" s="1399"/>
      <c r="C76" s="1401"/>
      <c r="D76" s="1403"/>
      <c r="E76" s="126" t="s">
        <v>341</v>
      </c>
      <c r="F76" s="127">
        <v>1700</v>
      </c>
      <c r="G76" s="1405"/>
      <c r="H76" s="1418"/>
      <c r="I76" s="128"/>
      <c r="J76" s="1423"/>
      <c r="K76" s="128"/>
      <c r="L76" s="128"/>
      <c r="M76" s="128"/>
      <c r="N76" s="129"/>
      <c r="O76" s="128"/>
      <c r="P76" s="128"/>
      <c r="Q76" s="128"/>
      <c r="R76" s="128"/>
      <c r="S76" s="128"/>
      <c r="T76" s="130"/>
      <c r="U76" s="1407"/>
      <c r="W76" s="131">
        <v>120</v>
      </c>
      <c r="X76" s="131">
        <v>2</v>
      </c>
      <c r="Y76" s="131">
        <v>80</v>
      </c>
    </row>
    <row r="77" spans="1:25" s="144" customFormat="1" ht="21.75">
      <c r="A77" s="246"/>
      <c r="B77" s="245"/>
      <c r="C77" s="246"/>
      <c r="D77" s="247"/>
      <c r="E77" s="132" t="s">
        <v>4</v>
      </c>
      <c r="F77" s="133">
        <f>SUM(F69:F76)</f>
        <v>19300</v>
      </c>
      <c r="G77" s="248"/>
      <c r="H77" s="251"/>
      <c r="I77" s="128"/>
      <c r="J77" s="134"/>
      <c r="K77" s="128"/>
      <c r="L77" s="128"/>
      <c r="M77" s="128"/>
      <c r="N77" s="129"/>
      <c r="O77" s="128"/>
      <c r="P77" s="128"/>
      <c r="Q77" s="128"/>
      <c r="R77" s="128"/>
      <c r="S77" s="128"/>
      <c r="T77" s="130"/>
      <c r="U77" s="130"/>
      <c r="W77" s="131"/>
      <c r="X77" s="131"/>
      <c r="Y77" s="131"/>
    </row>
    <row r="78" spans="1:25" s="144" customFormat="1" ht="43.5">
      <c r="A78" s="1396" t="s">
        <v>342</v>
      </c>
      <c r="B78" s="1398" t="s">
        <v>343</v>
      </c>
      <c r="C78" s="1400" t="s">
        <v>344</v>
      </c>
      <c r="D78" s="1413" t="s">
        <v>345</v>
      </c>
      <c r="E78" s="123" t="s">
        <v>333</v>
      </c>
      <c r="F78" s="124">
        <v>2800</v>
      </c>
      <c r="G78" s="1404" t="s">
        <v>218</v>
      </c>
      <c r="H78" s="1416" t="s">
        <v>346</v>
      </c>
      <c r="I78" s="1419">
        <v>25950</v>
      </c>
      <c r="J78" s="252"/>
      <c r="K78" s="128"/>
      <c r="L78" s="128"/>
      <c r="M78" s="128"/>
      <c r="N78" s="129"/>
      <c r="O78" s="128"/>
      <c r="P78" s="128"/>
      <c r="Q78" s="128"/>
      <c r="R78" s="128"/>
      <c r="S78" s="128"/>
      <c r="T78" s="130"/>
      <c r="U78" s="1406" t="s">
        <v>229</v>
      </c>
      <c r="W78" s="131"/>
      <c r="X78" s="131"/>
      <c r="Y78" s="131"/>
    </row>
    <row r="79" spans="1:25" s="144" customFormat="1" ht="65.25">
      <c r="A79" s="1410"/>
      <c r="B79" s="1411"/>
      <c r="C79" s="1412"/>
      <c r="D79" s="1414"/>
      <c r="E79" s="123" t="s">
        <v>335</v>
      </c>
      <c r="F79" s="124">
        <v>1400</v>
      </c>
      <c r="G79" s="1409"/>
      <c r="H79" s="1417"/>
      <c r="I79" s="1417"/>
      <c r="J79" s="252"/>
      <c r="K79" s="128"/>
      <c r="L79" s="128"/>
      <c r="M79" s="128"/>
      <c r="N79" s="129"/>
      <c r="O79" s="128"/>
      <c r="P79" s="128"/>
      <c r="Q79" s="128"/>
      <c r="R79" s="128"/>
      <c r="S79" s="128"/>
      <c r="T79" s="130"/>
      <c r="U79" s="1408"/>
      <c r="W79" s="131"/>
      <c r="X79" s="131"/>
      <c r="Y79" s="131"/>
    </row>
    <row r="80" spans="1:25" s="144" customFormat="1" ht="43.5">
      <c r="A80" s="1410"/>
      <c r="B80" s="1411"/>
      <c r="C80" s="1412"/>
      <c r="D80" s="1414"/>
      <c r="E80" s="123" t="s">
        <v>347</v>
      </c>
      <c r="F80" s="124">
        <v>7200</v>
      </c>
      <c r="G80" s="1409"/>
      <c r="H80" s="1417"/>
      <c r="I80" s="1417"/>
      <c r="J80" s="252"/>
      <c r="K80" s="128"/>
      <c r="L80" s="128"/>
      <c r="M80" s="128"/>
      <c r="N80" s="129"/>
      <c r="O80" s="128"/>
      <c r="P80" s="128"/>
      <c r="Q80" s="128"/>
      <c r="R80" s="128"/>
      <c r="S80" s="128"/>
      <c r="T80" s="130"/>
      <c r="U80" s="1408"/>
      <c r="W80" s="131"/>
      <c r="X80" s="131"/>
      <c r="Y80" s="131"/>
    </row>
    <row r="81" spans="1:25" s="144" customFormat="1" ht="21.75">
      <c r="A81" s="1410"/>
      <c r="B81" s="1411"/>
      <c r="C81" s="1412"/>
      <c r="D81" s="1414"/>
      <c r="E81" s="123" t="s">
        <v>348</v>
      </c>
      <c r="F81" s="124">
        <v>6000</v>
      </c>
      <c r="G81" s="1409"/>
      <c r="H81" s="1417"/>
      <c r="I81" s="1417"/>
      <c r="J81" s="252"/>
      <c r="K81" s="128"/>
      <c r="L81" s="128"/>
      <c r="M81" s="128"/>
      <c r="N81" s="129"/>
      <c r="O81" s="128"/>
      <c r="P81" s="128"/>
      <c r="Q81" s="128"/>
      <c r="R81" s="128"/>
      <c r="S81" s="128"/>
      <c r="T81" s="130"/>
      <c r="U81" s="1408"/>
      <c r="W81" s="131"/>
      <c r="X81" s="131"/>
      <c r="Y81" s="131"/>
    </row>
    <row r="82" spans="1:25" s="144" customFormat="1" ht="43.5">
      <c r="A82" s="1410"/>
      <c r="B82" s="1411"/>
      <c r="C82" s="1412"/>
      <c r="D82" s="1414"/>
      <c r="E82" s="126" t="s">
        <v>349</v>
      </c>
      <c r="F82" s="127">
        <v>2550</v>
      </c>
      <c r="G82" s="1409"/>
      <c r="H82" s="1417"/>
      <c r="I82" s="1417"/>
      <c r="J82" s="252"/>
      <c r="K82" s="128"/>
      <c r="L82" s="128"/>
      <c r="M82" s="128"/>
      <c r="N82" s="129"/>
      <c r="O82" s="128"/>
      <c r="P82" s="128"/>
      <c r="Q82" s="128"/>
      <c r="R82" s="128"/>
      <c r="S82" s="128"/>
      <c r="T82" s="130"/>
      <c r="U82" s="1408"/>
      <c r="W82" s="131"/>
      <c r="X82" s="131"/>
      <c r="Y82" s="131"/>
    </row>
    <row r="83" spans="1:25" s="144" customFormat="1" ht="21.75">
      <c r="A83" s="1410"/>
      <c r="B83" s="1411"/>
      <c r="C83" s="1412"/>
      <c r="D83" s="1414"/>
      <c r="E83" s="123" t="s">
        <v>350</v>
      </c>
      <c r="F83" s="85">
        <v>3000</v>
      </c>
      <c r="G83" s="1409"/>
      <c r="H83" s="1417"/>
      <c r="I83" s="1417"/>
      <c r="J83" s="252"/>
      <c r="K83" s="128"/>
      <c r="L83" s="128"/>
      <c r="M83" s="128"/>
      <c r="N83" s="129"/>
      <c r="O83" s="128"/>
      <c r="P83" s="128"/>
      <c r="Q83" s="128"/>
      <c r="R83" s="128"/>
      <c r="S83" s="128"/>
      <c r="T83" s="130"/>
      <c r="U83" s="1408"/>
      <c r="W83" s="131"/>
      <c r="X83" s="131"/>
      <c r="Y83" s="131"/>
    </row>
    <row r="84" spans="1:25" s="144" customFormat="1" ht="21.75">
      <c r="A84" s="1397"/>
      <c r="B84" s="1399"/>
      <c r="C84" s="1401"/>
      <c r="D84" s="1415"/>
      <c r="E84" s="123" t="s">
        <v>351</v>
      </c>
      <c r="F84" s="85">
        <v>3000</v>
      </c>
      <c r="G84" s="1405"/>
      <c r="H84" s="1418"/>
      <c r="I84" s="1418"/>
      <c r="J84" s="252"/>
      <c r="K84" s="128"/>
      <c r="L84" s="128"/>
      <c r="M84" s="128"/>
      <c r="N84" s="129"/>
      <c r="O84" s="128"/>
      <c r="P84" s="128"/>
      <c r="Q84" s="128"/>
      <c r="R84" s="128"/>
      <c r="S84" s="128"/>
      <c r="T84" s="130"/>
      <c r="U84" s="1407"/>
      <c r="W84" s="131"/>
      <c r="X84" s="131"/>
      <c r="Y84" s="131"/>
    </row>
    <row r="85" spans="1:25" s="144" customFormat="1" ht="21.75">
      <c r="A85" s="246"/>
      <c r="B85" s="245"/>
      <c r="C85" s="246"/>
      <c r="D85" s="247"/>
      <c r="E85" s="135" t="s">
        <v>4</v>
      </c>
      <c r="F85" s="136">
        <f>SUM(F78:F84)</f>
        <v>25950</v>
      </c>
      <c r="G85" s="248"/>
      <c r="H85" s="251"/>
      <c r="I85" s="128"/>
      <c r="J85" s="252"/>
      <c r="K85" s="128"/>
      <c r="L85" s="128"/>
      <c r="M85" s="128"/>
      <c r="N85" s="129"/>
      <c r="O85" s="128"/>
      <c r="P85" s="128"/>
      <c r="Q85" s="128"/>
      <c r="R85" s="128"/>
      <c r="S85" s="128"/>
      <c r="T85" s="130"/>
      <c r="U85" s="130"/>
      <c r="W85" s="131"/>
      <c r="X85" s="131"/>
      <c r="Y85" s="131"/>
    </row>
    <row r="86" spans="1:25" s="144" customFormat="1" ht="43.5">
      <c r="A86" s="1396" t="s">
        <v>352</v>
      </c>
      <c r="B86" s="1398" t="s">
        <v>353</v>
      </c>
      <c r="C86" s="1400" t="s">
        <v>354</v>
      </c>
      <c r="D86" s="1402" t="s">
        <v>355</v>
      </c>
      <c r="E86" s="126" t="s">
        <v>356</v>
      </c>
      <c r="F86" s="127">
        <v>30000</v>
      </c>
      <c r="G86" s="1404" t="s">
        <v>282</v>
      </c>
      <c r="H86" s="251" t="s">
        <v>346</v>
      </c>
      <c r="I86" s="129">
        <v>30000</v>
      </c>
      <c r="J86" s="252"/>
      <c r="K86" s="128"/>
      <c r="L86" s="128"/>
      <c r="M86" s="128"/>
      <c r="N86" s="129"/>
      <c r="O86" s="128"/>
      <c r="P86" s="128"/>
      <c r="Q86" s="128"/>
      <c r="R86" s="128"/>
      <c r="S86" s="128"/>
      <c r="T86" s="130"/>
      <c r="U86" s="1406" t="s">
        <v>229</v>
      </c>
      <c r="W86" s="131"/>
      <c r="X86" s="131"/>
      <c r="Y86" s="131"/>
    </row>
    <row r="87" spans="1:25" s="144" customFormat="1" ht="87">
      <c r="A87" s="1397"/>
      <c r="B87" s="1399"/>
      <c r="C87" s="1401"/>
      <c r="D87" s="1403"/>
      <c r="E87" s="126" t="s">
        <v>357</v>
      </c>
      <c r="F87" s="127">
        <v>25000</v>
      </c>
      <c r="G87" s="1405"/>
      <c r="H87" s="251" t="s">
        <v>358</v>
      </c>
      <c r="I87" s="129">
        <v>5000</v>
      </c>
      <c r="J87" s="129">
        <v>5000</v>
      </c>
      <c r="K87" s="129">
        <v>5000</v>
      </c>
      <c r="L87" s="129">
        <v>5000</v>
      </c>
      <c r="M87" s="129">
        <v>5000</v>
      </c>
      <c r="N87" s="129"/>
      <c r="O87" s="129"/>
      <c r="P87" s="129"/>
      <c r="Q87" s="129"/>
      <c r="R87" s="129"/>
      <c r="S87" s="129"/>
      <c r="T87" s="129"/>
      <c r="U87" s="1407"/>
      <c r="W87" s="131"/>
      <c r="X87" s="131"/>
      <c r="Y87" s="131"/>
    </row>
    <row r="88" spans="1:25" s="147" customFormat="1" ht="21.75">
      <c r="A88" s="108"/>
      <c r="B88" s="109"/>
      <c r="C88" s="267"/>
      <c r="D88" s="103"/>
      <c r="E88" s="135" t="s">
        <v>4</v>
      </c>
      <c r="F88" s="137">
        <f>SUM(F86:F87)</f>
        <v>55000</v>
      </c>
      <c r="G88" s="96"/>
      <c r="H88" s="270"/>
      <c r="I88" s="270"/>
      <c r="J88" s="270"/>
      <c r="K88" s="270"/>
      <c r="L88" s="270"/>
      <c r="M88" s="270"/>
      <c r="N88" s="93"/>
      <c r="O88" s="270"/>
      <c r="P88" s="270"/>
      <c r="Q88" s="270"/>
      <c r="R88" s="270"/>
      <c r="S88" s="270"/>
      <c r="T88" s="97"/>
      <c r="U88" s="97"/>
      <c r="W88" s="120"/>
      <c r="X88" s="120"/>
      <c r="Y88" s="120"/>
    </row>
    <row r="89" spans="1:21" ht="39">
      <c r="A89" s="108"/>
      <c r="B89" s="109"/>
      <c r="C89" s="267"/>
      <c r="D89" s="103"/>
      <c r="E89" s="138" t="s">
        <v>359</v>
      </c>
      <c r="F89" s="139">
        <v>400000</v>
      </c>
      <c r="G89" s="96"/>
      <c r="H89" s="270"/>
      <c r="I89" s="140">
        <f aca="true" t="shared" si="0" ref="I89:T89">SUM(I8:I88)</f>
        <v>63150</v>
      </c>
      <c r="J89" s="140">
        <f t="shared" si="0"/>
        <v>115400</v>
      </c>
      <c r="K89" s="140">
        <f t="shared" si="0"/>
        <v>13380</v>
      </c>
      <c r="L89" s="140">
        <f t="shared" si="0"/>
        <v>5600</v>
      </c>
      <c r="M89" s="140">
        <f t="shared" si="0"/>
        <v>11000</v>
      </c>
      <c r="N89" s="140">
        <f t="shared" si="0"/>
        <v>17200</v>
      </c>
      <c r="O89" s="140">
        <f t="shared" si="0"/>
        <v>5900</v>
      </c>
      <c r="P89" s="140">
        <f t="shared" si="0"/>
        <v>17400</v>
      </c>
      <c r="Q89" s="140">
        <f t="shared" si="0"/>
        <v>600</v>
      </c>
      <c r="R89" s="140">
        <f t="shared" si="0"/>
        <v>600</v>
      </c>
      <c r="S89" s="140">
        <f t="shared" si="0"/>
        <v>293200</v>
      </c>
      <c r="T89" s="141">
        <f t="shared" si="0"/>
        <v>0</v>
      </c>
      <c r="U89" s="141"/>
    </row>
    <row r="91" ht="18.75">
      <c r="F91" s="917"/>
    </row>
  </sheetData>
  <sheetProtection/>
  <mergeCells count="215"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R5:R6"/>
    <mergeCell ref="S5:S6"/>
    <mergeCell ref="T5:T6"/>
    <mergeCell ref="O5:O6"/>
    <mergeCell ref="P5:P6"/>
    <mergeCell ref="Q5:Q6"/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Q12:Q15"/>
    <mergeCell ref="R12:R15"/>
    <mergeCell ref="A7:D7"/>
    <mergeCell ref="A8:A11"/>
    <mergeCell ref="B8:B11"/>
    <mergeCell ref="C8:C11"/>
    <mergeCell ref="D8:D11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T16:T18"/>
    <mergeCell ref="U16:U18"/>
    <mergeCell ref="A19:A20"/>
    <mergeCell ref="B19:B20"/>
    <mergeCell ref="C19:C20"/>
    <mergeCell ref="D19:D20"/>
    <mergeCell ref="N16:N18"/>
    <mergeCell ref="O16:O18"/>
    <mergeCell ref="K12:K15"/>
    <mergeCell ref="L12:L15"/>
    <mergeCell ref="M12:M15"/>
    <mergeCell ref="N12:N15"/>
    <mergeCell ref="O12:O15"/>
    <mergeCell ref="P12:P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A26:A32"/>
    <mergeCell ref="B26:B32"/>
    <mergeCell ref="C26:C32"/>
    <mergeCell ref="Q16:Q18"/>
    <mergeCell ref="R16:R18"/>
    <mergeCell ref="S16:S18"/>
    <mergeCell ref="H16:H18"/>
    <mergeCell ref="I16:I18"/>
    <mergeCell ref="J16:J18"/>
    <mergeCell ref="K16:K18"/>
    <mergeCell ref="C21:C24"/>
    <mergeCell ref="D21:D24"/>
    <mergeCell ref="G21:G24"/>
    <mergeCell ref="H21:H24"/>
    <mergeCell ref="P16:P18"/>
    <mergeCell ref="A25:E25"/>
    <mergeCell ref="L16:L18"/>
    <mergeCell ref="M16:M18"/>
    <mergeCell ref="G26:G31"/>
    <mergeCell ref="T21:T24"/>
    <mergeCell ref="I21:I24"/>
    <mergeCell ref="J21:J24"/>
    <mergeCell ref="K21:K24"/>
    <mergeCell ref="L21:L24"/>
    <mergeCell ref="M21:M24"/>
    <mergeCell ref="N21:N24"/>
    <mergeCell ref="Q26:Q31"/>
    <mergeCell ref="J26:J31"/>
    <mergeCell ref="U26:U31"/>
    <mergeCell ref="A34:E34"/>
    <mergeCell ref="K26:K31"/>
    <mergeCell ref="L26:L31"/>
    <mergeCell ref="M26:M31"/>
    <mergeCell ref="N26:N31"/>
    <mergeCell ref="O26:O31"/>
    <mergeCell ref="P26:P31"/>
    <mergeCell ref="H26:H31"/>
    <mergeCell ref="I26:I31"/>
    <mergeCell ref="R26:R31"/>
    <mergeCell ref="A21:A24"/>
    <mergeCell ref="B21:B24"/>
    <mergeCell ref="S26:S31"/>
    <mergeCell ref="T26:T31"/>
    <mergeCell ref="P21:P24"/>
    <mergeCell ref="Q21:Q24"/>
    <mergeCell ref="R21:R24"/>
    <mergeCell ref="S21:S24"/>
    <mergeCell ref="D26:D32"/>
    <mergeCell ref="A49:E49"/>
    <mergeCell ref="M41:M43"/>
    <mergeCell ref="N41:N43"/>
    <mergeCell ref="O41:O43"/>
    <mergeCell ref="P41:P43"/>
    <mergeCell ref="Q41:Q43"/>
    <mergeCell ref="G41:G43"/>
    <mergeCell ref="H41:H43"/>
    <mergeCell ref="I41:I43"/>
    <mergeCell ref="D41:D44"/>
    <mergeCell ref="S41:S43"/>
    <mergeCell ref="T41:T43"/>
    <mergeCell ref="U41:U43"/>
    <mergeCell ref="A45:E45"/>
    <mergeCell ref="A47:E47"/>
    <mergeCell ref="R41:R43"/>
    <mergeCell ref="A50:A60"/>
    <mergeCell ref="B50:B60"/>
    <mergeCell ref="U50:U59"/>
    <mergeCell ref="O50:O59"/>
    <mergeCell ref="A36:E36"/>
    <mergeCell ref="A38:E38"/>
    <mergeCell ref="A40:E40"/>
    <mergeCell ref="A41:A44"/>
    <mergeCell ref="B41:B44"/>
    <mergeCell ref="C41:C44"/>
    <mergeCell ref="H62:H66"/>
    <mergeCell ref="I62:I66"/>
    <mergeCell ref="J62:J66"/>
    <mergeCell ref="C50:C60"/>
    <mergeCell ref="D50:D60"/>
    <mergeCell ref="G50:G59"/>
    <mergeCell ref="H50:H59"/>
    <mergeCell ref="A61:E61"/>
    <mergeCell ref="A62:A67"/>
    <mergeCell ref="B62:B67"/>
    <mergeCell ref="C62:C67"/>
    <mergeCell ref="D62:D67"/>
    <mergeCell ref="G62:G66"/>
    <mergeCell ref="O62:O66"/>
    <mergeCell ref="P62:P66"/>
    <mergeCell ref="J41:J43"/>
    <mergeCell ref="K41:K43"/>
    <mergeCell ref="L41:L43"/>
    <mergeCell ref="N50:N59"/>
    <mergeCell ref="P50:P59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69:A76"/>
    <mergeCell ref="B69:B76"/>
    <mergeCell ref="C69:C76"/>
    <mergeCell ref="D69:D76"/>
    <mergeCell ref="H69:H76"/>
    <mergeCell ref="J69:J76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86:A87"/>
    <mergeCell ref="B86:B87"/>
    <mergeCell ref="C86:C87"/>
    <mergeCell ref="D86:D87"/>
    <mergeCell ref="G86:G87"/>
    <mergeCell ref="U86:U87"/>
  </mergeCells>
  <printOptions/>
  <pageMargins left="0.25" right="0.25" top="0.75" bottom="0.75" header="0.3" footer="0.3"/>
  <pageSetup fitToHeight="0" fitToWidth="1" horizontalDpi="600" verticalDpi="600" orientation="landscape" paperSize="9" scale="67" r:id="rId1"/>
  <rowBreaks count="3" manualBreakCount="3">
    <brk id="37" max="20" man="1"/>
    <brk id="46" max="20" man="1"/>
    <brk id="67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SheetLayoutView="70" zoomScalePageLayoutView="0" workbookViewId="0" topLeftCell="A1">
      <selection activeCell="H2" sqref="H1:U16384"/>
    </sheetView>
  </sheetViews>
  <sheetFormatPr defaultColWidth="9.00390625" defaultRowHeight="15"/>
  <cols>
    <col min="1" max="5" width="22.57421875" style="148" customWidth="1"/>
    <col min="6" max="6" width="12.140625" style="148" bestFit="1" customWidth="1"/>
    <col min="7" max="7" width="5.140625" style="148" customWidth="1"/>
    <col min="8" max="8" width="9.57421875" style="148" customWidth="1"/>
    <col min="9" max="20" width="4.00390625" style="148" customWidth="1"/>
    <col min="21" max="21" width="5.57421875" style="148" customWidth="1"/>
    <col min="22" max="16384" width="9.00390625" style="148" customWidth="1"/>
  </cols>
  <sheetData>
    <row r="1" spans="1:21" ht="24">
      <c r="A1" s="1536" t="s">
        <v>565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</row>
    <row r="2" spans="1:21" ht="24">
      <c r="A2" s="78" t="s">
        <v>566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</row>
    <row r="3" spans="1:21" ht="21.75">
      <c r="A3" s="1537" t="s">
        <v>44</v>
      </c>
      <c r="B3" s="1532" t="s">
        <v>45</v>
      </c>
      <c r="C3" s="1532" t="s">
        <v>46</v>
      </c>
      <c r="D3" s="1532" t="s">
        <v>47</v>
      </c>
      <c r="E3" s="1532" t="s">
        <v>48</v>
      </c>
      <c r="F3" s="1532"/>
      <c r="G3" s="1532"/>
      <c r="H3" s="1532" t="s">
        <v>49</v>
      </c>
      <c r="I3" s="1532" t="s">
        <v>50</v>
      </c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7" t="s">
        <v>153</v>
      </c>
    </row>
    <row r="4" spans="1:21" ht="17.25">
      <c r="A4" s="1538"/>
      <c r="B4" s="1532"/>
      <c r="C4" s="1532"/>
      <c r="D4" s="1532"/>
      <c r="E4" s="1537" t="s">
        <v>52</v>
      </c>
      <c r="F4" s="1533" t="s">
        <v>53</v>
      </c>
      <c r="G4" s="1535" t="s">
        <v>54</v>
      </c>
      <c r="H4" s="1532"/>
      <c r="I4" s="1532" t="s">
        <v>55</v>
      </c>
      <c r="J4" s="1532" t="s">
        <v>56</v>
      </c>
      <c r="K4" s="1532" t="s">
        <v>57</v>
      </c>
      <c r="L4" s="1532" t="s">
        <v>58</v>
      </c>
      <c r="M4" s="1532" t="s">
        <v>59</v>
      </c>
      <c r="N4" s="1532" t="s">
        <v>60</v>
      </c>
      <c r="O4" s="1532" t="s">
        <v>61</v>
      </c>
      <c r="P4" s="1532" t="s">
        <v>62</v>
      </c>
      <c r="Q4" s="1532" t="s">
        <v>63</v>
      </c>
      <c r="R4" s="1532" t="s">
        <v>64</v>
      </c>
      <c r="S4" s="1532" t="s">
        <v>65</v>
      </c>
      <c r="T4" s="1532" t="s">
        <v>66</v>
      </c>
      <c r="U4" s="1538"/>
    </row>
    <row r="5" spans="1:21" ht="17.25">
      <c r="A5" s="1539"/>
      <c r="B5" s="1532"/>
      <c r="C5" s="1532"/>
      <c r="D5" s="1532"/>
      <c r="E5" s="1539"/>
      <c r="F5" s="1534"/>
      <c r="G5" s="1535"/>
      <c r="H5" s="1532"/>
      <c r="I5" s="1532"/>
      <c r="J5" s="1532"/>
      <c r="K5" s="1532"/>
      <c r="L5" s="1532"/>
      <c r="M5" s="1532"/>
      <c r="N5" s="1532"/>
      <c r="O5" s="1532"/>
      <c r="P5" s="1532"/>
      <c r="Q5" s="1532"/>
      <c r="R5" s="1532"/>
      <c r="S5" s="1532"/>
      <c r="T5" s="1532"/>
      <c r="U5" s="1539"/>
    </row>
    <row r="6" spans="1:21" ht="224.25">
      <c r="A6" s="1398" t="s">
        <v>567</v>
      </c>
      <c r="B6" s="1442"/>
      <c r="C6" s="1509"/>
      <c r="D6" s="1398" t="s">
        <v>568</v>
      </c>
      <c r="E6" s="259" t="s">
        <v>1445</v>
      </c>
      <c r="F6" s="414" t="s">
        <v>569</v>
      </c>
      <c r="G6" s="415" t="s">
        <v>570</v>
      </c>
      <c r="H6" s="416"/>
      <c r="I6" s="417"/>
      <c r="J6" s="418">
        <v>1600</v>
      </c>
      <c r="K6" s="417"/>
      <c r="L6" s="417"/>
      <c r="M6" s="418">
        <v>1600</v>
      </c>
      <c r="N6" s="417"/>
      <c r="O6" s="417"/>
      <c r="P6" s="418">
        <v>1600</v>
      </c>
      <c r="Q6" s="417"/>
      <c r="R6" s="417"/>
      <c r="S6" s="418">
        <v>1600</v>
      </c>
      <c r="T6" s="417"/>
      <c r="U6" s="157" t="s">
        <v>571</v>
      </c>
    </row>
    <row r="7" spans="1:21" ht="21.75">
      <c r="A7" s="1399"/>
      <c r="B7" s="1442"/>
      <c r="C7" s="1504"/>
      <c r="D7" s="1399"/>
      <c r="E7" s="419" t="s">
        <v>4</v>
      </c>
      <c r="F7" s="420">
        <v>6400</v>
      </c>
      <c r="G7" s="421"/>
      <c r="H7" s="421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1"/>
    </row>
    <row r="8" spans="1:21" ht="65.25">
      <c r="A8" s="1526" t="s">
        <v>572</v>
      </c>
      <c r="B8" s="1398"/>
      <c r="C8" s="1398" t="s">
        <v>573</v>
      </c>
      <c r="D8" s="1442" t="s">
        <v>574</v>
      </c>
      <c r="E8" s="297" t="s">
        <v>575</v>
      </c>
      <c r="F8" s="298">
        <v>2560</v>
      </c>
      <c r="G8" s="1529" t="s">
        <v>570</v>
      </c>
      <c r="H8" s="1446"/>
      <c r="I8" s="1424"/>
      <c r="J8" s="1424"/>
      <c r="K8" s="1424"/>
      <c r="L8" s="1424">
        <v>8840</v>
      </c>
      <c r="M8" s="1424"/>
      <c r="N8" s="1424"/>
      <c r="O8" s="1424"/>
      <c r="P8" s="1424"/>
      <c r="Q8" s="1424"/>
      <c r="R8" s="1424"/>
      <c r="S8" s="1424"/>
      <c r="T8" s="1424"/>
      <c r="U8" s="1446" t="s">
        <v>571</v>
      </c>
    </row>
    <row r="9" spans="1:21" ht="65.25">
      <c r="A9" s="1527"/>
      <c r="B9" s="1411"/>
      <c r="C9" s="1411"/>
      <c r="D9" s="1442"/>
      <c r="E9" s="297" t="s">
        <v>576</v>
      </c>
      <c r="F9" s="298">
        <v>1280</v>
      </c>
      <c r="G9" s="1530"/>
      <c r="H9" s="1447"/>
      <c r="I9" s="1425"/>
      <c r="J9" s="1425"/>
      <c r="K9" s="1425"/>
      <c r="L9" s="1425"/>
      <c r="M9" s="1425"/>
      <c r="N9" s="1425"/>
      <c r="O9" s="1425"/>
      <c r="P9" s="1425"/>
      <c r="Q9" s="1425"/>
      <c r="R9" s="1425"/>
      <c r="S9" s="1425"/>
      <c r="T9" s="1425"/>
      <c r="U9" s="1447"/>
    </row>
    <row r="10" spans="1:21" ht="21.75">
      <c r="A10" s="1527"/>
      <c r="B10" s="1411"/>
      <c r="C10" s="1411"/>
      <c r="D10" s="1442"/>
      <c r="E10" s="297" t="s">
        <v>577</v>
      </c>
      <c r="F10" s="298">
        <v>2000</v>
      </c>
      <c r="G10" s="1530"/>
      <c r="H10" s="1447"/>
      <c r="I10" s="1425"/>
      <c r="J10" s="1425"/>
      <c r="K10" s="1425"/>
      <c r="L10" s="1425"/>
      <c r="M10" s="1425"/>
      <c r="N10" s="1425"/>
      <c r="O10" s="1425"/>
      <c r="P10" s="1425"/>
      <c r="Q10" s="1425"/>
      <c r="R10" s="1425"/>
      <c r="S10" s="1425"/>
      <c r="T10" s="1425"/>
      <c r="U10" s="1447"/>
    </row>
    <row r="11" spans="1:21" ht="21.75">
      <c r="A11" s="1527"/>
      <c r="B11" s="1411"/>
      <c r="C11" s="1411"/>
      <c r="D11" s="1442"/>
      <c r="E11" s="259" t="s">
        <v>209</v>
      </c>
      <c r="F11" s="298">
        <v>3000</v>
      </c>
      <c r="G11" s="1531"/>
      <c r="H11" s="1447"/>
      <c r="I11" s="1425"/>
      <c r="J11" s="1425"/>
      <c r="K11" s="1425"/>
      <c r="L11" s="1425"/>
      <c r="M11" s="1425"/>
      <c r="N11" s="1425"/>
      <c r="O11" s="1425"/>
      <c r="P11" s="1425"/>
      <c r="Q11" s="1425"/>
      <c r="R11" s="1425"/>
      <c r="S11" s="1425"/>
      <c r="T11" s="1425"/>
      <c r="U11" s="1447"/>
    </row>
    <row r="12" spans="1:21" ht="21.75">
      <c r="A12" s="1528"/>
      <c r="B12" s="1399"/>
      <c r="C12" s="1399"/>
      <c r="D12" s="1442"/>
      <c r="E12" s="419" t="s">
        <v>4</v>
      </c>
      <c r="F12" s="420">
        <f>SUM(F8:F11)</f>
        <v>8840</v>
      </c>
      <c r="G12" s="421"/>
      <c r="H12" s="421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1"/>
    </row>
    <row r="13" spans="1:21" ht="65.25">
      <c r="A13" s="1526" t="s">
        <v>578</v>
      </c>
      <c r="B13" s="1398"/>
      <c r="C13" s="1398" t="s">
        <v>579</v>
      </c>
      <c r="D13" s="1442" t="s">
        <v>580</v>
      </c>
      <c r="E13" s="297" t="s">
        <v>581</v>
      </c>
      <c r="F13" s="298">
        <v>2800</v>
      </c>
      <c r="G13" s="1529" t="s">
        <v>570</v>
      </c>
      <c r="H13" s="1446"/>
      <c r="I13" s="1424"/>
      <c r="J13" s="1424"/>
      <c r="K13" s="1424"/>
      <c r="L13" s="1424"/>
      <c r="M13" s="1424"/>
      <c r="N13" s="1424"/>
      <c r="O13" s="1424"/>
      <c r="P13" s="1424"/>
      <c r="Q13" s="1424">
        <v>9200</v>
      </c>
      <c r="R13" s="1424"/>
      <c r="S13" s="1424"/>
      <c r="T13" s="1424"/>
      <c r="U13" s="1446" t="s">
        <v>571</v>
      </c>
    </row>
    <row r="14" spans="1:21" ht="65.25">
      <c r="A14" s="1527"/>
      <c r="B14" s="1411"/>
      <c r="C14" s="1411"/>
      <c r="D14" s="1442"/>
      <c r="E14" s="297" t="s">
        <v>582</v>
      </c>
      <c r="F14" s="298">
        <v>1400</v>
      </c>
      <c r="G14" s="1530"/>
      <c r="H14" s="1447"/>
      <c r="I14" s="1425"/>
      <c r="J14" s="1425"/>
      <c r="K14" s="1425"/>
      <c r="L14" s="1425"/>
      <c r="M14" s="1425"/>
      <c r="N14" s="1425"/>
      <c r="O14" s="1425"/>
      <c r="P14" s="1425"/>
      <c r="Q14" s="1425"/>
      <c r="R14" s="1425"/>
      <c r="S14" s="1425"/>
      <c r="T14" s="1425"/>
      <c r="U14" s="1447"/>
    </row>
    <row r="15" spans="1:21" ht="21.75">
      <c r="A15" s="1527"/>
      <c r="B15" s="1411"/>
      <c r="C15" s="1411"/>
      <c r="D15" s="1442"/>
      <c r="E15" s="297" t="s">
        <v>577</v>
      </c>
      <c r="F15" s="298">
        <v>2000</v>
      </c>
      <c r="G15" s="1530"/>
      <c r="H15" s="1447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47"/>
    </row>
    <row r="16" spans="1:21" ht="21.75">
      <c r="A16" s="1527"/>
      <c r="B16" s="1411"/>
      <c r="C16" s="1411"/>
      <c r="D16" s="1442"/>
      <c r="E16" s="259" t="s">
        <v>209</v>
      </c>
      <c r="F16" s="298">
        <v>3000</v>
      </c>
      <c r="G16" s="1531"/>
      <c r="H16" s="1447"/>
      <c r="I16" s="1425"/>
      <c r="J16" s="1425"/>
      <c r="K16" s="1425"/>
      <c r="L16" s="1425"/>
      <c r="M16" s="1425"/>
      <c r="N16" s="1425"/>
      <c r="O16" s="1425"/>
      <c r="P16" s="1425"/>
      <c r="Q16" s="1425"/>
      <c r="R16" s="1425"/>
      <c r="S16" s="1425"/>
      <c r="T16" s="1425"/>
      <c r="U16" s="1447"/>
    </row>
    <row r="17" spans="1:21" ht="21.75">
      <c r="A17" s="1528"/>
      <c r="B17" s="1399"/>
      <c r="C17" s="1399"/>
      <c r="D17" s="1442"/>
      <c r="E17" s="419" t="s">
        <v>4</v>
      </c>
      <c r="F17" s="420">
        <f>SUM(F13:F16)</f>
        <v>9200</v>
      </c>
      <c r="G17" s="421"/>
      <c r="H17" s="421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1"/>
    </row>
    <row r="18" spans="1:21" ht="48.75">
      <c r="A18" s="142"/>
      <c r="B18" s="142"/>
      <c r="C18" s="142"/>
      <c r="D18" s="142"/>
      <c r="E18" s="423" t="s">
        <v>139</v>
      </c>
      <c r="F18" s="424">
        <f>F7+F12+F17</f>
        <v>24440</v>
      </c>
      <c r="G18" s="425"/>
      <c r="H18" s="425"/>
      <c r="I18" s="422">
        <f aca="true" t="shared" si="0" ref="I18:T18">SUM(I6:I17)</f>
        <v>0</v>
      </c>
      <c r="J18" s="422">
        <f t="shared" si="0"/>
        <v>1600</v>
      </c>
      <c r="K18" s="422">
        <f t="shared" si="0"/>
        <v>0</v>
      </c>
      <c r="L18" s="422">
        <f t="shared" si="0"/>
        <v>8840</v>
      </c>
      <c r="M18" s="422">
        <f t="shared" si="0"/>
        <v>1600</v>
      </c>
      <c r="N18" s="422">
        <f t="shared" si="0"/>
        <v>0</v>
      </c>
      <c r="O18" s="422">
        <f t="shared" si="0"/>
        <v>0</v>
      </c>
      <c r="P18" s="422">
        <f t="shared" si="0"/>
        <v>1600</v>
      </c>
      <c r="Q18" s="422">
        <f t="shared" si="0"/>
        <v>9200</v>
      </c>
      <c r="R18" s="422">
        <f t="shared" si="0"/>
        <v>0</v>
      </c>
      <c r="S18" s="422">
        <f t="shared" si="0"/>
        <v>1600</v>
      </c>
      <c r="T18" s="422">
        <f t="shared" si="0"/>
        <v>0</v>
      </c>
      <c r="U18" s="426"/>
    </row>
    <row r="19" spans="1:21" ht="21.75">
      <c r="A19" s="1525" t="s">
        <v>583</v>
      </c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</row>
    <row r="20" spans="1:21" ht="43.5">
      <c r="A20" s="1503" t="s">
        <v>584</v>
      </c>
      <c r="B20" s="1442" t="s">
        <v>585</v>
      </c>
      <c r="C20" s="1503" t="s">
        <v>586</v>
      </c>
      <c r="D20" s="1442" t="s">
        <v>587</v>
      </c>
      <c r="E20" s="299" t="s">
        <v>588</v>
      </c>
      <c r="F20" s="300">
        <v>3200</v>
      </c>
      <c r="G20" s="1443" t="s">
        <v>589</v>
      </c>
      <c r="H20" s="1524">
        <v>241813</v>
      </c>
      <c r="I20" s="1424"/>
      <c r="J20" s="1424"/>
      <c r="K20" s="1424"/>
      <c r="L20" s="1424">
        <v>17800</v>
      </c>
      <c r="M20" s="1424"/>
      <c r="N20" s="1424"/>
      <c r="O20" s="1424"/>
      <c r="P20" s="1424"/>
      <c r="Q20" s="1424"/>
      <c r="R20" s="1424"/>
      <c r="S20" s="1424"/>
      <c r="T20" s="1424"/>
      <c r="U20" s="1457" t="s">
        <v>590</v>
      </c>
    </row>
    <row r="21" spans="1:21" ht="65.25">
      <c r="A21" s="1509"/>
      <c r="B21" s="1442"/>
      <c r="C21" s="1509"/>
      <c r="D21" s="1442"/>
      <c r="E21" s="123" t="s">
        <v>591</v>
      </c>
      <c r="F21" s="300">
        <v>1600</v>
      </c>
      <c r="G21" s="1444"/>
      <c r="H21" s="1447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58"/>
    </row>
    <row r="22" spans="1:21" ht="21.75">
      <c r="A22" s="1509"/>
      <c r="B22" s="1442"/>
      <c r="C22" s="1509"/>
      <c r="D22" s="1442"/>
      <c r="E22" s="123" t="s">
        <v>162</v>
      </c>
      <c r="F22" s="300">
        <v>2000</v>
      </c>
      <c r="G22" s="1444"/>
      <c r="H22" s="1447"/>
      <c r="I22" s="1425"/>
      <c r="J22" s="1425"/>
      <c r="K22" s="1425"/>
      <c r="L22" s="1425"/>
      <c r="M22" s="1425"/>
      <c r="N22" s="1425"/>
      <c r="O22" s="1425"/>
      <c r="P22" s="1425"/>
      <c r="Q22" s="1425"/>
      <c r="R22" s="1425"/>
      <c r="S22" s="1425"/>
      <c r="T22" s="1425"/>
      <c r="U22" s="1458"/>
    </row>
    <row r="23" spans="1:21" ht="43.5">
      <c r="A23" s="1509"/>
      <c r="B23" s="1442"/>
      <c r="C23" s="1509"/>
      <c r="D23" s="1442"/>
      <c r="E23" s="246" t="s">
        <v>577</v>
      </c>
      <c r="F23" s="300">
        <v>2000</v>
      </c>
      <c r="G23" s="261"/>
      <c r="H23" s="26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65" t="s">
        <v>592</v>
      </c>
    </row>
    <row r="24" spans="1:21" ht="21.75">
      <c r="A24" s="1509"/>
      <c r="B24" s="1442"/>
      <c r="C24" s="1509"/>
      <c r="D24" s="1442"/>
      <c r="E24" s="246" t="s">
        <v>593</v>
      </c>
      <c r="F24" s="300">
        <v>3600</v>
      </c>
      <c r="G24" s="261"/>
      <c r="H24" s="26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65"/>
    </row>
    <row r="25" spans="1:21" ht="21.75">
      <c r="A25" s="1509"/>
      <c r="B25" s="1442"/>
      <c r="C25" s="1509"/>
      <c r="D25" s="1442"/>
      <c r="E25" s="246" t="s">
        <v>594</v>
      </c>
      <c r="F25" s="300">
        <v>4000</v>
      </c>
      <c r="G25" s="261"/>
      <c r="H25" s="26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65"/>
    </row>
    <row r="26" spans="1:21" ht="21.75">
      <c r="A26" s="1509"/>
      <c r="B26" s="1442"/>
      <c r="C26" s="1509"/>
      <c r="D26" s="1442"/>
      <c r="E26" s="246" t="s">
        <v>595</v>
      </c>
      <c r="F26" s="300">
        <v>2000</v>
      </c>
      <c r="G26" s="262"/>
      <c r="H26" s="264"/>
      <c r="I26" s="254"/>
      <c r="J26" s="254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265"/>
    </row>
    <row r="27" spans="1:21" ht="21.75">
      <c r="A27" s="1504"/>
      <c r="B27" s="1442"/>
      <c r="C27" s="1504"/>
      <c r="D27" s="1442"/>
      <c r="E27" s="115" t="s">
        <v>4</v>
      </c>
      <c r="F27" s="428">
        <f>SUM(F20:F26)</f>
        <v>18400</v>
      </c>
      <c r="G27" s="421"/>
      <c r="H27" s="421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13"/>
    </row>
    <row r="28" spans="1:21" ht="53.25">
      <c r="A28" s="147"/>
      <c r="B28" s="147"/>
      <c r="C28" s="147"/>
      <c r="D28" s="147"/>
      <c r="E28" s="429" t="s">
        <v>139</v>
      </c>
      <c r="F28" s="116">
        <f>F27</f>
        <v>18400</v>
      </c>
      <c r="G28" s="425"/>
      <c r="H28" s="425"/>
      <c r="I28" s="422"/>
      <c r="J28" s="422"/>
      <c r="K28" s="422"/>
      <c r="L28" s="422">
        <f>SUM(L20:L27)</f>
        <v>17800</v>
      </c>
      <c r="M28" s="422"/>
      <c r="N28" s="422"/>
      <c r="O28" s="422"/>
      <c r="P28" s="422"/>
      <c r="Q28" s="422"/>
      <c r="R28" s="422"/>
      <c r="S28" s="422"/>
      <c r="T28" s="422"/>
      <c r="U28" s="146"/>
    </row>
    <row r="29" spans="1:21" ht="21.75">
      <c r="A29" s="143" t="s">
        <v>596</v>
      </c>
      <c r="B29" s="147"/>
      <c r="C29" s="147"/>
      <c r="D29" s="147"/>
      <c r="E29" s="147"/>
      <c r="F29" s="43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43.5">
      <c r="A30" s="1453" t="s">
        <v>597</v>
      </c>
      <c r="B30" s="1453" t="s">
        <v>598</v>
      </c>
      <c r="C30" s="1438"/>
      <c r="D30" s="1438"/>
      <c r="E30" s="269" t="s">
        <v>599</v>
      </c>
      <c r="F30" s="124">
        <f>20*80*1</f>
        <v>1600</v>
      </c>
      <c r="G30" s="1514" t="s">
        <v>589</v>
      </c>
      <c r="H30" s="1523">
        <v>22647</v>
      </c>
      <c r="I30" s="1520"/>
      <c r="J30" s="1520"/>
      <c r="K30" s="1520"/>
      <c r="L30" s="1520">
        <v>3800</v>
      </c>
      <c r="M30" s="1520"/>
      <c r="N30" s="1520"/>
      <c r="O30" s="1520"/>
      <c r="P30" s="1520"/>
      <c r="Q30" s="1520"/>
      <c r="R30" s="1520"/>
      <c r="S30" s="1520"/>
      <c r="T30" s="1520"/>
      <c r="U30" s="1514" t="s">
        <v>600</v>
      </c>
    </row>
    <row r="31" spans="1:21" ht="43.5">
      <c r="A31" s="1454"/>
      <c r="B31" s="1454"/>
      <c r="C31" s="1439"/>
      <c r="D31" s="1439"/>
      <c r="E31" s="257" t="s">
        <v>601</v>
      </c>
      <c r="F31" s="431">
        <f>20*20*2</f>
        <v>800</v>
      </c>
      <c r="G31" s="1515"/>
      <c r="H31" s="1515"/>
      <c r="I31" s="1521"/>
      <c r="J31" s="1521"/>
      <c r="K31" s="1521"/>
      <c r="L31" s="1521"/>
      <c r="M31" s="1521"/>
      <c r="N31" s="1521"/>
      <c r="O31" s="1521"/>
      <c r="P31" s="1521"/>
      <c r="Q31" s="1521"/>
      <c r="R31" s="1521"/>
      <c r="S31" s="1521"/>
      <c r="T31" s="1521"/>
      <c r="U31" s="1515"/>
    </row>
    <row r="32" spans="1:21" ht="43.5">
      <c r="A32" s="1454"/>
      <c r="B32" s="1454"/>
      <c r="C32" s="1439"/>
      <c r="D32" s="1439"/>
      <c r="E32" s="257" t="s">
        <v>602</v>
      </c>
      <c r="F32" s="431">
        <f>20*70</f>
        <v>1400</v>
      </c>
      <c r="G32" s="1515"/>
      <c r="H32" s="1515"/>
      <c r="I32" s="1521"/>
      <c r="J32" s="1521"/>
      <c r="K32" s="1521"/>
      <c r="L32" s="1521"/>
      <c r="M32" s="1521"/>
      <c r="N32" s="1521"/>
      <c r="O32" s="1521"/>
      <c r="P32" s="1521"/>
      <c r="Q32" s="1521"/>
      <c r="R32" s="1521"/>
      <c r="S32" s="1521"/>
      <c r="T32" s="1521"/>
      <c r="U32" s="1515"/>
    </row>
    <row r="33" spans="1:21" ht="21.75">
      <c r="A33" s="1455"/>
      <c r="B33" s="1455"/>
      <c r="C33" s="1440"/>
      <c r="D33" s="1440"/>
      <c r="E33" s="432" t="s">
        <v>4</v>
      </c>
      <c r="F33" s="433">
        <f>SUM(F30:F32)</f>
        <v>3800</v>
      </c>
      <c r="G33" s="1516"/>
      <c r="H33" s="1516"/>
      <c r="I33" s="1522"/>
      <c r="J33" s="1522"/>
      <c r="K33" s="1522"/>
      <c r="L33" s="1522"/>
      <c r="M33" s="1522"/>
      <c r="N33" s="1522"/>
      <c r="O33" s="1522"/>
      <c r="P33" s="1522"/>
      <c r="Q33" s="1522"/>
      <c r="R33" s="1522"/>
      <c r="S33" s="1522"/>
      <c r="T33" s="1522"/>
      <c r="U33" s="1516"/>
    </row>
    <row r="34" spans="1:21" ht="43.5">
      <c r="A34" s="1453" t="s">
        <v>603</v>
      </c>
      <c r="B34" s="1453" t="s">
        <v>604</v>
      </c>
      <c r="C34" s="1438"/>
      <c r="D34" s="1438"/>
      <c r="E34" s="257" t="s">
        <v>605</v>
      </c>
      <c r="F34" s="431">
        <f>25*80*2</f>
        <v>4000</v>
      </c>
      <c r="G34" s="1514" t="s">
        <v>589</v>
      </c>
      <c r="H34" s="1523">
        <v>22678</v>
      </c>
      <c r="I34" s="1520"/>
      <c r="J34" s="1520"/>
      <c r="K34" s="1520"/>
      <c r="L34" s="1520"/>
      <c r="M34" s="1520">
        <v>7750</v>
      </c>
      <c r="N34" s="1520"/>
      <c r="O34" s="1520"/>
      <c r="P34" s="1520"/>
      <c r="Q34" s="1520"/>
      <c r="R34" s="1520"/>
      <c r="S34" s="1520"/>
      <c r="T34" s="1520"/>
      <c r="U34" s="1514" t="s">
        <v>600</v>
      </c>
    </row>
    <row r="35" spans="1:21" ht="43.5">
      <c r="A35" s="1454"/>
      <c r="B35" s="1454"/>
      <c r="C35" s="1439"/>
      <c r="D35" s="1439"/>
      <c r="E35" s="257" t="s">
        <v>606</v>
      </c>
      <c r="F35" s="431">
        <f>25*20*4</f>
        <v>2000</v>
      </c>
      <c r="G35" s="1515"/>
      <c r="H35" s="1515"/>
      <c r="I35" s="1521"/>
      <c r="J35" s="1521"/>
      <c r="K35" s="1521"/>
      <c r="L35" s="1521"/>
      <c r="M35" s="1521"/>
      <c r="N35" s="1521"/>
      <c r="O35" s="1521"/>
      <c r="P35" s="1521"/>
      <c r="Q35" s="1521"/>
      <c r="R35" s="1521"/>
      <c r="S35" s="1521"/>
      <c r="T35" s="1521"/>
      <c r="U35" s="1515"/>
    </row>
    <row r="36" spans="1:21" ht="43.5">
      <c r="A36" s="1454"/>
      <c r="B36" s="1454"/>
      <c r="C36" s="1439"/>
      <c r="D36" s="1439"/>
      <c r="E36" s="257" t="s">
        <v>602</v>
      </c>
      <c r="F36" s="431">
        <f>25*70</f>
        <v>1750</v>
      </c>
      <c r="G36" s="1515"/>
      <c r="H36" s="1515"/>
      <c r="I36" s="1521"/>
      <c r="J36" s="1521"/>
      <c r="K36" s="1521"/>
      <c r="L36" s="1521"/>
      <c r="M36" s="1521"/>
      <c r="N36" s="1521"/>
      <c r="O36" s="1521"/>
      <c r="P36" s="1521"/>
      <c r="Q36" s="1521"/>
      <c r="R36" s="1521"/>
      <c r="S36" s="1521"/>
      <c r="T36" s="1521"/>
      <c r="U36" s="1515"/>
    </row>
    <row r="37" spans="1:21" ht="21.75">
      <c r="A37" s="1455"/>
      <c r="B37" s="1455"/>
      <c r="C37" s="1440"/>
      <c r="D37" s="1440"/>
      <c r="E37" s="432" t="s">
        <v>4</v>
      </c>
      <c r="F37" s="433">
        <f>SUM(F34:F36)</f>
        <v>7750</v>
      </c>
      <c r="G37" s="1516"/>
      <c r="H37" s="1516"/>
      <c r="I37" s="1522"/>
      <c r="J37" s="1522"/>
      <c r="K37" s="1522"/>
      <c r="L37" s="1522"/>
      <c r="M37" s="1522"/>
      <c r="N37" s="1522"/>
      <c r="O37" s="1522"/>
      <c r="P37" s="1522"/>
      <c r="Q37" s="1522"/>
      <c r="R37" s="1522"/>
      <c r="S37" s="1522"/>
      <c r="T37" s="1522"/>
      <c r="U37" s="1516"/>
    </row>
    <row r="38" spans="1:21" ht="21.75">
      <c r="A38" s="1517" t="s">
        <v>607</v>
      </c>
      <c r="B38" s="1518"/>
      <c r="C38" s="1518"/>
      <c r="D38" s="1519"/>
      <c r="E38" s="434"/>
      <c r="F38" s="435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21.75">
      <c r="A39" s="149" t="s">
        <v>608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21.75">
      <c r="A40" s="436" t="s">
        <v>609</v>
      </c>
      <c r="B40" s="437"/>
      <c r="C40" s="438"/>
      <c r="D40" s="437"/>
      <c r="E40" s="437"/>
      <c r="F40" s="439"/>
      <c r="G40" s="439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</row>
    <row r="41" spans="1:21" ht="65.25">
      <c r="A41" s="1503" t="s">
        <v>610</v>
      </c>
      <c r="B41" s="1442"/>
      <c r="C41" s="1503" t="s">
        <v>611</v>
      </c>
      <c r="D41" s="1442" t="s">
        <v>612</v>
      </c>
      <c r="E41" s="440" t="s">
        <v>613</v>
      </c>
      <c r="F41" s="441">
        <f>20*4*20</f>
        <v>1600</v>
      </c>
      <c r="G41" s="1443" t="s">
        <v>77</v>
      </c>
      <c r="H41" s="1446" t="s">
        <v>614</v>
      </c>
      <c r="I41" s="1424"/>
      <c r="J41" s="1424"/>
      <c r="K41" s="1424"/>
      <c r="L41" s="1424"/>
      <c r="M41" s="1424"/>
      <c r="N41" s="1424">
        <v>4900</v>
      </c>
      <c r="O41" s="1424"/>
      <c r="P41" s="1424"/>
      <c r="Q41" s="1424"/>
      <c r="R41" s="1424"/>
      <c r="S41" s="1424"/>
      <c r="T41" s="1424">
        <v>4900</v>
      </c>
      <c r="U41" s="1446" t="s">
        <v>615</v>
      </c>
    </row>
    <row r="42" spans="1:21" ht="65.25">
      <c r="A42" s="1509"/>
      <c r="B42" s="1442"/>
      <c r="C42" s="1509"/>
      <c r="D42" s="1442"/>
      <c r="E42" s="440" t="s">
        <v>616</v>
      </c>
      <c r="F42" s="441">
        <f>20*2*80</f>
        <v>3200</v>
      </c>
      <c r="G42" s="1444"/>
      <c r="H42" s="1447"/>
      <c r="I42" s="1425"/>
      <c r="J42" s="1425"/>
      <c r="K42" s="1425"/>
      <c r="L42" s="1425"/>
      <c r="M42" s="1425"/>
      <c r="N42" s="1425"/>
      <c r="O42" s="1425"/>
      <c r="P42" s="1425"/>
      <c r="Q42" s="1425"/>
      <c r="R42" s="1425"/>
      <c r="S42" s="1425"/>
      <c r="T42" s="1425"/>
      <c r="U42" s="1447"/>
    </row>
    <row r="43" spans="1:21" ht="65.25">
      <c r="A43" s="1509"/>
      <c r="B43" s="1442"/>
      <c r="C43" s="1509"/>
      <c r="D43" s="1442"/>
      <c r="E43" s="440" t="s">
        <v>617</v>
      </c>
      <c r="F43" s="442">
        <f>2*2500</f>
        <v>5000</v>
      </c>
      <c r="G43" s="1444"/>
      <c r="H43" s="1447"/>
      <c r="I43" s="1425"/>
      <c r="J43" s="1425"/>
      <c r="K43" s="1425"/>
      <c r="L43" s="1425"/>
      <c r="M43" s="1425"/>
      <c r="N43" s="1425"/>
      <c r="O43" s="1425"/>
      <c r="P43" s="1425"/>
      <c r="Q43" s="1425"/>
      <c r="R43" s="1425"/>
      <c r="S43" s="1425"/>
      <c r="T43" s="1425"/>
      <c r="U43" s="1447"/>
    </row>
    <row r="44" spans="1:21" ht="21.75">
      <c r="A44" s="1504"/>
      <c r="B44" s="1442"/>
      <c r="C44" s="1504"/>
      <c r="D44" s="1442"/>
      <c r="E44" s="419" t="s">
        <v>4</v>
      </c>
      <c r="F44" s="420">
        <f>SUM(F41:F43)</f>
        <v>9800</v>
      </c>
      <c r="G44" s="421"/>
      <c r="H44" s="421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1"/>
    </row>
    <row r="45" spans="1:21" ht="65.25">
      <c r="A45" s="1512" t="s">
        <v>618</v>
      </c>
      <c r="B45" s="1442"/>
      <c r="C45" s="1442" t="s">
        <v>619</v>
      </c>
      <c r="D45" s="1442" t="s">
        <v>620</v>
      </c>
      <c r="E45" s="440" t="s">
        <v>621</v>
      </c>
      <c r="F45" s="441">
        <f>65*4*20</f>
        <v>5200</v>
      </c>
      <c r="G45" s="1513" t="s">
        <v>77</v>
      </c>
      <c r="H45" s="1510" t="s">
        <v>622</v>
      </c>
      <c r="I45" s="1511"/>
      <c r="J45" s="1511"/>
      <c r="K45" s="1511"/>
      <c r="L45" s="1511"/>
      <c r="M45" s="1511"/>
      <c r="N45" s="1511">
        <v>12000</v>
      </c>
      <c r="O45" s="1511"/>
      <c r="P45" s="1511"/>
      <c r="Q45" s="1511"/>
      <c r="R45" s="1511"/>
      <c r="S45" s="1511"/>
      <c r="T45" s="1511">
        <v>12000</v>
      </c>
      <c r="U45" s="1510" t="s">
        <v>615</v>
      </c>
    </row>
    <row r="46" spans="1:21" ht="65.25">
      <c r="A46" s="1512"/>
      <c r="B46" s="1442"/>
      <c r="C46" s="1442"/>
      <c r="D46" s="1442"/>
      <c r="E46" s="440" t="s">
        <v>623</v>
      </c>
      <c r="F46" s="441">
        <f>65*2*80</f>
        <v>10400</v>
      </c>
      <c r="G46" s="1513"/>
      <c r="H46" s="1510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0"/>
    </row>
    <row r="47" spans="1:21" ht="65.25">
      <c r="A47" s="1512"/>
      <c r="B47" s="1442"/>
      <c r="C47" s="1442"/>
      <c r="D47" s="1442"/>
      <c r="E47" s="440" t="s">
        <v>624</v>
      </c>
      <c r="F47" s="442">
        <f>2*5000</f>
        <v>10000</v>
      </c>
      <c r="G47" s="1513"/>
      <c r="H47" s="1510"/>
      <c r="I47" s="1511"/>
      <c r="J47" s="1511"/>
      <c r="K47" s="1511"/>
      <c r="L47" s="1511"/>
      <c r="M47" s="1511"/>
      <c r="N47" s="1511"/>
      <c r="O47" s="1511"/>
      <c r="P47" s="1511"/>
      <c r="Q47" s="1511"/>
      <c r="R47" s="1511"/>
      <c r="S47" s="1511"/>
      <c r="T47" s="1511"/>
      <c r="U47" s="1510"/>
    </row>
    <row r="48" spans="1:21" ht="21.75">
      <c r="A48" s="1512"/>
      <c r="B48" s="1442"/>
      <c r="C48" s="1442"/>
      <c r="D48" s="1442"/>
      <c r="E48" s="443" t="s">
        <v>4</v>
      </c>
      <c r="F48" s="420">
        <f>SUM(F45:F47)</f>
        <v>25600</v>
      </c>
      <c r="G48" s="421"/>
      <c r="H48" s="421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1"/>
    </row>
    <row r="49" spans="1:21" ht="65.25">
      <c r="A49" s="1398" t="s">
        <v>1446</v>
      </c>
      <c r="B49" s="1398"/>
      <c r="C49" s="1398" t="s">
        <v>619</v>
      </c>
      <c r="D49" s="1398" t="s">
        <v>620</v>
      </c>
      <c r="E49" s="444" t="s">
        <v>625</v>
      </c>
      <c r="F49" s="445">
        <f>65*2*20</f>
        <v>2600</v>
      </c>
      <c r="G49" s="1443" t="s">
        <v>77</v>
      </c>
      <c r="H49" s="1446" t="s">
        <v>626</v>
      </c>
      <c r="I49" s="1507"/>
      <c r="J49" s="1507"/>
      <c r="K49" s="1507"/>
      <c r="L49" s="1507"/>
      <c r="M49" s="1507"/>
      <c r="N49" s="1507">
        <v>1300</v>
      </c>
      <c r="O49" s="1507"/>
      <c r="P49" s="1507"/>
      <c r="Q49" s="1507"/>
      <c r="R49" s="1507"/>
      <c r="S49" s="1507"/>
      <c r="T49" s="1507">
        <v>1300</v>
      </c>
      <c r="U49" s="1446" t="s">
        <v>627</v>
      </c>
    </row>
    <row r="50" spans="1:21" ht="21.75">
      <c r="A50" s="1411"/>
      <c r="B50" s="1411"/>
      <c r="C50" s="1411"/>
      <c r="D50" s="1411"/>
      <c r="E50" s="446"/>
      <c r="F50" s="447"/>
      <c r="G50" s="1444"/>
      <c r="H50" s="1447"/>
      <c r="I50" s="1508"/>
      <c r="J50" s="1508"/>
      <c r="K50" s="1508"/>
      <c r="L50" s="1508"/>
      <c r="M50" s="1508"/>
      <c r="N50" s="1508"/>
      <c r="O50" s="1508"/>
      <c r="P50" s="1508"/>
      <c r="Q50" s="1508"/>
      <c r="R50" s="1508"/>
      <c r="S50" s="1508"/>
      <c r="T50" s="1508"/>
      <c r="U50" s="1447"/>
    </row>
    <row r="51" spans="1:21" ht="21.75">
      <c r="A51" s="1399"/>
      <c r="B51" s="1399"/>
      <c r="C51" s="1399"/>
      <c r="D51" s="1399"/>
      <c r="E51" s="443" t="s">
        <v>4</v>
      </c>
      <c r="F51" s="420">
        <f>SUM(F49:F50)</f>
        <v>2600</v>
      </c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</row>
    <row r="52" spans="1:21" ht="21.75">
      <c r="A52" s="448" t="s">
        <v>628</v>
      </c>
      <c r="B52" s="245"/>
      <c r="C52" s="273"/>
      <c r="D52" s="245"/>
      <c r="E52" s="449"/>
      <c r="F52" s="450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</row>
    <row r="53" spans="1:21" ht="65.25">
      <c r="A53" s="1503" t="s">
        <v>629</v>
      </c>
      <c r="B53" s="1442"/>
      <c r="C53" s="1503" t="s">
        <v>630</v>
      </c>
      <c r="D53" s="1442" t="s">
        <v>612</v>
      </c>
      <c r="E53" s="452" t="s">
        <v>631</v>
      </c>
      <c r="F53" s="453">
        <f>20*1*80</f>
        <v>1600</v>
      </c>
      <c r="G53" s="1443" t="s">
        <v>77</v>
      </c>
      <c r="H53" s="1446" t="s">
        <v>632</v>
      </c>
      <c r="I53" s="1424"/>
      <c r="J53" s="1424"/>
      <c r="K53" s="1424">
        <v>5400</v>
      </c>
      <c r="L53" s="1424"/>
      <c r="M53" s="1424"/>
      <c r="N53" s="1424"/>
      <c r="O53" s="1424"/>
      <c r="P53" s="1424">
        <v>5400</v>
      </c>
      <c r="Q53" s="1424"/>
      <c r="R53" s="1424"/>
      <c r="S53" s="1424"/>
      <c r="T53" s="1424"/>
      <c r="U53" s="1446" t="s">
        <v>627</v>
      </c>
    </row>
    <row r="54" spans="1:21" ht="65.25">
      <c r="A54" s="1509"/>
      <c r="B54" s="1442"/>
      <c r="C54" s="1509"/>
      <c r="D54" s="1442"/>
      <c r="E54" s="454" t="s">
        <v>633</v>
      </c>
      <c r="F54" s="455">
        <f>20*2*20</f>
        <v>800</v>
      </c>
      <c r="G54" s="1444"/>
      <c r="H54" s="1447"/>
      <c r="I54" s="1425"/>
      <c r="J54" s="1425"/>
      <c r="K54" s="1425"/>
      <c r="L54" s="1425"/>
      <c r="M54" s="1425"/>
      <c r="N54" s="1425"/>
      <c r="O54" s="1425"/>
      <c r="P54" s="1425"/>
      <c r="Q54" s="1425"/>
      <c r="R54" s="1425"/>
      <c r="S54" s="1425"/>
      <c r="T54" s="1425"/>
      <c r="U54" s="1447"/>
    </row>
    <row r="55" spans="1:21" ht="65.25">
      <c r="A55" s="1509"/>
      <c r="B55" s="1442"/>
      <c r="C55" s="1509"/>
      <c r="D55" s="1442"/>
      <c r="E55" s="456" t="s">
        <v>634</v>
      </c>
      <c r="F55" s="457">
        <v>3000</v>
      </c>
      <c r="G55" s="1445"/>
      <c r="H55" s="1506"/>
      <c r="I55" s="1505"/>
      <c r="J55" s="1505"/>
      <c r="K55" s="1505"/>
      <c r="L55" s="1505"/>
      <c r="M55" s="1505"/>
      <c r="N55" s="1505"/>
      <c r="O55" s="1505"/>
      <c r="P55" s="1505"/>
      <c r="Q55" s="1505"/>
      <c r="R55" s="1505"/>
      <c r="S55" s="1505"/>
      <c r="T55" s="1505"/>
      <c r="U55" s="1506"/>
    </row>
    <row r="56" spans="1:21" ht="21.75">
      <c r="A56" s="1504"/>
      <c r="B56" s="1442"/>
      <c r="C56" s="1504"/>
      <c r="D56" s="1442"/>
      <c r="E56" s="419" t="s">
        <v>4</v>
      </c>
      <c r="F56" s="420">
        <f>SUM(F53:F55)</f>
        <v>5400</v>
      </c>
      <c r="G56" s="421"/>
      <c r="H56" s="421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1"/>
    </row>
    <row r="57" spans="1:21" ht="43.5">
      <c r="A57" s="1503" t="s">
        <v>635</v>
      </c>
      <c r="B57" s="1442"/>
      <c r="C57" s="1503" t="s">
        <v>636</v>
      </c>
      <c r="D57" s="1442" t="s">
        <v>637</v>
      </c>
      <c r="E57" s="452" t="s">
        <v>638</v>
      </c>
      <c r="F57" s="453">
        <v>0</v>
      </c>
      <c r="G57" s="260" t="s">
        <v>77</v>
      </c>
      <c r="H57" s="26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63" t="s">
        <v>627</v>
      </c>
    </row>
    <row r="58" spans="1:21" ht="21.75">
      <c r="A58" s="1504"/>
      <c r="B58" s="1442"/>
      <c r="C58" s="1504"/>
      <c r="D58" s="1442"/>
      <c r="E58" s="419" t="s">
        <v>4</v>
      </c>
      <c r="F58" s="420">
        <f>SUM(F57:F57)</f>
        <v>0</v>
      </c>
      <c r="G58" s="421"/>
      <c r="H58" s="421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1"/>
    </row>
    <row r="59" spans="1:21" ht="47.25">
      <c r="A59" s="1398" t="s">
        <v>639</v>
      </c>
      <c r="B59" s="1398"/>
      <c r="C59" s="1398" t="s">
        <v>636</v>
      </c>
      <c r="D59" s="1442" t="s">
        <v>637</v>
      </c>
      <c r="E59" s="454" t="s">
        <v>640</v>
      </c>
      <c r="F59" s="455">
        <f>1*6*240</f>
        <v>1440</v>
      </c>
      <c r="G59" s="260" t="s">
        <v>77</v>
      </c>
      <c r="H59" s="263" t="s">
        <v>641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>
        <v>1440</v>
      </c>
      <c r="T59" s="253"/>
      <c r="U59" s="263" t="s">
        <v>627</v>
      </c>
    </row>
    <row r="60" spans="1:21" ht="92.25" customHeight="1">
      <c r="A60" s="1399"/>
      <c r="B60" s="1399"/>
      <c r="C60" s="1399"/>
      <c r="D60" s="1442"/>
      <c r="E60" s="419" t="s">
        <v>4</v>
      </c>
      <c r="F60" s="420">
        <f>SUM(F59:F59)</f>
        <v>1440</v>
      </c>
      <c r="G60" s="421"/>
      <c r="H60" s="421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1"/>
    </row>
    <row r="61" spans="1:21" ht="43.5">
      <c r="A61" s="259" t="s">
        <v>642</v>
      </c>
      <c r="B61" s="259"/>
      <c r="C61" s="259"/>
      <c r="D61" s="259"/>
      <c r="E61" s="426"/>
      <c r="F61" s="426"/>
      <c r="G61" s="421"/>
      <c r="H61" s="421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1"/>
    </row>
    <row r="62" spans="1:21" ht="65.25">
      <c r="A62" s="259" t="s">
        <v>643</v>
      </c>
      <c r="B62" s="259" t="s">
        <v>644</v>
      </c>
      <c r="C62" s="259" t="s">
        <v>645</v>
      </c>
      <c r="D62" s="259">
        <v>-30</v>
      </c>
      <c r="E62" s="440" t="s">
        <v>646</v>
      </c>
      <c r="F62" s="458">
        <f>30*2*80</f>
        <v>4800</v>
      </c>
      <c r="G62" s="421"/>
      <c r="H62" s="421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1"/>
    </row>
    <row r="63" spans="1:21" ht="65.25">
      <c r="A63" s="259"/>
      <c r="B63" s="259"/>
      <c r="C63" s="259"/>
      <c r="D63" s="259"/>
      <c r="E63" s="440" t="s">
        <v>647</v>
      </c>
      <c r="F63" s="458">
        <f>30*4*20</f>
        <v>2400</v>
      </c>
      <c r="G63" s="421"/>
      <c r="H63" s="421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1"/>
    </row>
    <row r="64" spans="1:21" ht="43.5">
      <c r="A64" s="259"/>
      <c r="B64" s="259"/>
      <c r="C64" s="259"/>
      <c r="D64" s="259"/>
      <c r="E64" s="440" t="s">
        <v>648</v>
      </c>
      <c r="F64" s="458">
        <v>3000</v>
      </c>
      <c r="G64" s="421"/>
      <c r="H64" s="421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1"/>
    </row>
    <row r="65" spans="1:21" ht="21.75">
      <c r="A65" s="259"/>
      <c r="B65" s="259"/>
      <c r="C65" s="259"/>
      <c r="D65" s="259"/>
      <c r="E65" s="443" t="s">
        <v>4</v>
      </c>
      <c r="F65" s="420">
        <f>SUM(F62:F64)</f>
        <v>10200</v>
      </c>
      <c r="G65" s="421"/>
      <c r="H65" s="421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1"/>
    </row>
    <row r="66" spans="1:21" ht="53.25">
      <c r="A66" s="426"/>
      <c r="B66" s="426"/>
      <c r="C66" s="426"/>
      <c r="D66" s="426"/>
      <c r="E66" s="423" t="s">
        <v>139</v>
      </c>
      <c r="F66" s="424">
        <f>F44+F48+F51+F56+F58+F60+F65</f>
        <v>55040</v>
      </c>
      <c r="G66" s="425"/>
      <c r="H66" s="425"/>
      <c r="I66" s="422">
        <f aca="true" t="shared" si="1" ref="I66:T66">SUM(I41:I51)</f>
        <v>0</v>
      </c>
      <c r="J66" s="422">
        <f t="shared" si="1"/>
        <v>0</v>
      </c>
      <c r="K66" s="422">
        <f t="shared" si="1"/>
        <v>0</v>
      </c>
      <c r="L66" s="422">
        <f t="shared" si="1"/>
        <v>0</v>
      </c>
      <c r="M66" s="422">
        <f t="shared" si="1"/>
        <v>0</v>
      </c>
      <c r="N66" s="422">
        <f t="shared" si="1"/>
        <v>18200</v>
      </c>
      <c r="O66" s="422">
        <f t="shared" si="1"/>
        <v>0</v>
      </c>
      <c r="P66" s="422">
        <f t="shared" si="1"/>
        <v>0</v>
      </c>
      <c r="Q66" s="422">
        <f t="shared" si="1"/>
        <v>0</v>
      </c>
      <c r="R66" s="422">
        <f t="shared" si="1"/>
        <v>0</v>
      </c>
      <c r="S66" s="422">
        <f t="shared" si="1"/>
        <v>0</v>
      </c>
      <c r="T66" s="422">
        <f t="shared" si="1"/>
        <v>18200</v>
      </c>
      <c r="U66" s="426"/>
    </row>
    <row r="69" spans="6:7" ht="17.25">
      <c r="F69" s="151">
        <f>F7+F12+F17</f>
        <v>24440</v>
      </c>
      <c r="G69" s="148" t="s">
        <v>649</v>
      </c>
    </row>
    <row r="70" spans="6:7" ht="17.25">
      <c r="F70" s="152">
        <f>F28+F38</f>
        <v>29950</v>
      </c>
      <c r="G70" s="148" t="s">
        <v>650</v>
      </c>
    </row>
    <row r="71" spans="6:7" ht="17.25">
      <c r="F71" s="151">
        <f>F44+F48+F51+F56+F60+F65</f>
        <v>55040</v>
      </c>
      <c r="G71" s="148" t="s">
        <v>445</v>
      </c>
    </row>
    <row r="72" ht="17.25">
      <c r="F72" s="151">
        <f>SUM(F69:F71)</f>
        <v>109430</v>
      </c>
    </row>
  </sheetData>
  <sheetProtection/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Q4:Q5"/>
    <mergeCell ref="R4:R5"/>
    <mergeCell ref="F4:F5"/>
    <mergeCell ref="G4:G5"/>
    <mergeCell ref="I4:I5"/>
    <mergeCell ref="J4:J5"/>
    <mergeCell ref="K4:K5"/>
    <mergeCell ref="L4:L5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A8:A12"/>
    <mergeCell ref="B8:B12"/>
    <mergeCell ref="C8:C12"/>
    <mergeCell ref="D8:D12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U13:U16"/>
    <mergeCell ref="A19:U19"/>
    <mergeCell ref="L13:L16"/>
    <mergeCell ref="M13:M16"/>
    <mergeCell ref="N13:N16"/>
    <mergeCell ref="O13:O16"/>
    <mergeCell ref="P13:P16"/>
    <mergeCell ref="Q13:Q16"/>
    <mergeCell ref="I20:I22"/>
    <mergeCell ref="J20:J22"/>
    <mergeCell ref="S20:S22"/>
    <mergeCell ref="T20:T22"/>
    <mergeCell ref="R13:R16"/>
    <mergeCell ref="S13:S16"/>
    <mergeCell ref="T13:T16"/>
    <mergeCell ref="Q20:Q22"/>
    <mergeCell ref="R20:R22"/>
    <mergeCell ref="A20:A27"/>
    <mergeCell ref="B20:B27"/>
    <mergeCell ref="C20:C27"/>
    <mergeCell ref="D20:D27"/>
    <mergeCell ref="G20:G22"/>
    <mergeCell ref="H20:H22"/>
    <mergeCell ref="U20:U22"/>
    <mergeCell ref="K20:K22"/>
    <mergeCell ref="L20:L22"/>
    <mergeCell ref="M20:M22"/>
    <mergeCell ref="N20:N22"/>
    <mergeCell ref="O20:O22"/>
    <mergeCell ref="P20:P22"/>
    <mergeCell ref="A30:A33"/>
    <mergeCell ref="B30:B33"/>
    <mergeCell ref="C30:C33"/>
    <mergeCell ref="D30:D33"/>
    <mergeCell ref="G30:G33"/>
    <mergeCell ref="H30:H33"/>
    <mergeCell ref="U30:U33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I30:I33"/>
    <mergeCell ref="M34:M37"/>
    <mergeCell ref="N34:N37"/>
    <mergeCell ref="J34:J37"/>
    <mergeCell ref="K34:K37"/>
    <mergeCell ref="L34:L37"/>
    <mergeCell ref="A34:A37"/>
    <mergeCell ref="B34:B37"/>
    <mergeCell ref="C34:C37"/>
    <mergeCell ref="D34:D37"/>
    <mergeCell ref="G34:G37"/>
    <mergeCell ref="H34:H37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A41:A44"/>
    <mergeCell ref="B41:B44"/>
    <mergeCell ref="C41:C44"/>
    <mergeCell ref="D41:D44"/>
    <mergeCell ref="G41:G43"/>
    <mergeCell ref="H41:H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A45:A48"/>
    <mergeCell ref="B45:B48"/>
    <mergeCell ref="C45:C48"/>
    <mergeCell ref="D45:D48"/>
    <mergeCell ref="G45:G47"/>
    <mergeCell ref="H45:H47"/>
    <mergeCell ref="U49:U50"/>
    <mergeCell ref="O49:O50"/>
    <mergeCell ref="P49:P50"/>
    <mergeCell ref="I45:I47"/>
    <mergeCell ref="J45:J47"/>
    <mergeCell ref="K45:K47"/>
    <mergeCell ref="L45:L47"/>
    <mergeCell ref="M45:M47"/>
    <mergeCell ref="N45:N47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K49:K50"/>
    <mergeCell ref="L49:L50"/>
    <mergeCell ref="M49:M50"/>
    <mergeCell ref="N49:N50"/>
    <mergeCell ref="J49:J50"/>
    <mergeCell ref="Q49:Q50"/>
    <mergeCell ref="L53:L55"/>
    <mergeCell ref="M53:M55"/>
    <mergeCell ref="A53:A56"/>
    <mergeCell ref="B53:B56"/>
    <mergeCell ref="C53:C56"/>
    <mergeCell ref="D53:D56"/>
    <mergeCell ref="H49:H50"/>
    <mergeCell ref="I49:I50"/>
    <mergeCell ref="P53:P55"/>
    <mergeCell ref="Q53:Q55"/>
    <mergeCell ref="R53:R55"/>
    <mergeCell ref="H53:H55"/>
    <mergeCell ref="I53:I55"/>
    <mergeCell ref="J53:J55"/>
    <mergeCell ref="K53:K55"/>
    <mergeCell ref="N53:N55"/>
    <mergeCell ref="G53:G55"/>
    <mergeCell ref="T53:T55"/>
    <mergeCell ref="U53:U55"/>
    <mergeCell ref="S53:S55"/>
    <mergeCell ref="A49:A51"/>
    <mergeCell ref="B49:B51"/>
    <mergeCell ref="C49:C51"/>
    <mergeCell ref="D49:D51"/>
    <mergeCell ref="G49:G50"/>
    <mergeCell ref="O53:O55"/>
    <mergeCell ref="A59:A60"/>
    <mergeCell ref="B59:B60"/>
    <mergeCell ref="C59:C60"/>
    <mergeCell ref="D59:D60"/>
    <mergeCell ref="A57:A58"/>
    <mergeCell ref="B57:B58"/>
    <mergeCell ref="C57:C58"/>
    <mergeCell ref="D57:D5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2" manualBreakCount="2">
    <brk id="23" max="20" man="1"/>
    <brk id="38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5"/>
  <sheetViews>
    <sheetView zoomScaleSheetLayoutView="90" zoomScalePageLayoutView="0" workbookViewId="0" topLeftCell="A98">
      <selection activeCell="H2" sqref="H1:U16384"/>
    </sheetView>
  </sheetViews>
  <sheetFormatPr defaultColWidth="9.00390625" defaultRowHeight="15"/>
  <cols>
    <col min="1" max="5" width="22.57421875" style="74" customWidth="1"/>
    <col min="6" max="6" width="10.57421875" style="74" bestFit="1" customWidth="1"/>
    <col min="7" max="7" width="4.421875" style="74" customWidth="1"/>
    <col min="8" max="8" width="9.421875" style="74" customWidth="1"/>
    <col min="9" max="20" width="3.421875" style="74" customWidth="1"/>
    <col min="21" max="21" width="5.57421875" style="74" customWidth="1"/>
    <col min="22" max="16384" width="9.00390625" style="74" customWidth="1"/>
  </cols>
  <sheetData>
    <row r="1" spans="1:21" ht="21.75">
      <c r="A1" s="1662" t="s">
        <v>1001</v>
      </c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1662"/>
      <c r="T1" s="1662"/>
      <c r="U1" s="1662"/>
    </row>
    <row r="2" spans="1:5" ht="21.75">
      <c r="A2" s="1250" t="s">
        <v>1100</v>
      </c>
      <c r="B2" s="1250"/>
      <c r="C2" s="1250"/>
      <c r="D2" s="1250"/>
      <c r="E2" s="346"/>
    </row>
    <row r="3" spans="1:5" ht="21.75">
      <c r="A3" s="1250" t="s">
        <v>1101</v>
      </c>
      <c r="B3" s="1250"/>
      <c r="C3" s="1250"/>
      <c r="D3" s="1250"/>
      <c r="E3" s="346"/>
    </row>
    <row r="4" spans="1:21" ht="21.75">
      <c r="A4" s="1357" t="s">
        <v>44</v>
      </c>
      <c r="B4" s="1299" t="s">
        <v>45</v>
      </c>
      <c r="C4" s="1299" t="s">
        <v>46</v>
      </c>
      <c r="D4" s="1299" t="s">
        <v>47</v>
      </c>
      <c r="E4" s="1299" t="s">
        <v>48</v>
      </c>
      <c r="F4" s="1299"/>
      <c r="G4" s="1299"/>
      <c r="H4" s="1357" t="s">
        <v>1424</v>
      </c>
      <c r="I4" s="1299" t="s">
        <v>50</v>
      </c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357" t="s">
        <v>1102</v>
      </c>
    </row>
    <row r="5" spans="1:21" ht="18.75">
      <c r="A5" s="1362"/>
      <c r="B5" s="1299"/>
      <c r="C5" s="1299"/>
      <c r="D5" s="1299"/>
      <c r="E5" s="1357" t="s">
        <v>52</v>
      </c>
      <c r="F5" s="1359" t="s">
        <v>53</v>
      </c>
      <c r="G5" s="1361" t="s">
        <v>54</v>
      </c>
      <c r="H5" s="1362"/>
      <c r="I5" s="1299" t="s">
        <v>1103</v>
      </c>
      <c r="J5" s="1299" t="s">
        <v>1104</v>
      </c>
      <c r="K5" s="1299" t="s">
        <v>1105</v>
      </c>
      <c r="L5" s="1299" t="s">
        <v>1106</v>
      </c>
      <c r="M5" s="1299" t="s">
        <v>1107</v>
      </c>
      <c r="N5" s="1299" t="s">
        <v>1108</v>
      </c>
      <c r="O5" s="1299" t="s">
        <v>1109</v>
      </c>
      <c r="P5" s="1299" t="s">
        <v>1110</v>
      </c>
      <c r="Q5" s="1299" t="s">
        <v>1111</v>
      </c>
      <c r="R5" s="1299" t="s">
        <v>1112</v>
      </c>
      <c r="S5" s="1299" t="s">
        <v>1113</v>
      </c>
      <c r="T5" s="1299" t="s">
        <v>1114</v>
      </c>
      <c r="U5" s="1362"/>
    </row>
    <row r="6" spans="1:21" ht="18.75">
      <c r="A6" s="1358"/>
      <c r="B6" s="1299"/>
      <c r="C6" s="1299"/>
      <c r="D6" s="1299"/>
      <c r="E6" s="1358"/>
      <c r="F6" s="1360"/>
      <c r="G6" s="1361"/>
      <c r="H6" s="1358"/>
      <c r="I6" s="1299"/>
      <c r="J6" s="1299"/>
      <c r="K6" s="1299"/>
      <c r="L6" s="1299"/>
      <c r="M6" s="1299"/>
      <c r="N6" s="1299"/>
      <c r="O6" s="1299"/>
      <c r="P6" s="1299"/>
      <c r="Q6" s="1299"/>
      <c r="R6" s="1299"/>
      <c r="S6" s="1299"/>
      <c r="T6" s="1299"/>
      <c r="U6" s="1358"/>
    </row>
    <row r="7" spans="1:21" ht="21.75">
      <c r="A7" s="1584" t="s">
        <v>1115</v>
      </c>
      <c r="B7" s="1585"/>
      <c r="C7" s="1585"/>
      <c r="D7" s="1585"/>
      <c r="E7" s="1585"/>
      <c r="F7" s="1585"/>
      <c r="G7" s="1585"/>
      <c r="H7" s="1585"/>
      <c r="I7" s="1585"/>
      <c r="J7" s="1585"/>
      <c r="K7" s="1585"/>
      <c r="L7" s="1585"/>
      <c r="M7" s="1585"/>
      <c r="N7" s="1585"/>
      <c r="O7" s="1585"/>
      <c r="P7" s="1585"/>
      <c r="Q7" s="1585"/>
      <c r="R7" s="1585"/>
      <c r="S7" s="1585"/>
      <c r="T7" s="1585"/>
      <c r="U7" s="1586"/>
    </row>
    <row r="8" spans="1:21" s="29" customFormat="1" ht="56.25">
      <c r="A8" s="1656" t="s">
        <v>1116</v>
      </c>
      <c r="B8" s="1603" t="s">
        <v>1117</v>
      </c>
      <c r="C8" s="1656"/>
      <c r="D8" s="1659" t="s">
        <v>1118</v>
      </c>
      <c r="E8" s="920" t="s">
        <v>1119</v>
      </c>
      <c r="F8" s="921">
        <v>3200</v>
      </c>
      <c r="G8" s="1660" t="s">
        <v>1120</v>
      </c>
      <c r="H8" s="1645" t="s">
        <v>1121</v>
      </c>
      <c r="I8" s="1650"/>
      <c r="J8" s="1650"/>
      <c r="K8" s="1652">
        <v>4800</v>
      </c>
      <c r="L8" s="1650"/>
      <c r="M8" s="1650"/>
      <c r="N8" s="1650"/>
      <c r="O8" s="1650"/>
      <c r="P8" s="1652">
        <v>4800</v>
      </c>
      <c r="Q8" s="1650"/>
      <c r="R8" s="1650"/>
      <c r="S8" s="1650"/>
      <c r="T8" s="1650"/>
      <c r="U8" s="1653" t="s">
        <v>1122</v>
      </c>
    </row>
    <row r="9" spans="1:21" s="29" customFormat="1" ht="56.25">
      <c r="A9" s="1657"/>
      <c r="B9" s="1604"/>
      <c r="C9" s="1657"/>
      <c r="D9" s="1659"/>
      <c r="E9" s="922" t="s">
        <v>1123</v>
      </c>
      <c r="F9" s="923">
        <v>6400</v>
      </c>
      <c r="G9" s="1661"/>
      <c r="H9" s="1646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4"/>
    </row>
    <row r="10" spans="1:21" s="29" customFormat="1" ht="18.75">
      <c r="A10" s="1658"/>
      <c r="B10" s="1605"/>
      <c r="C10" s="1658"/>
      <c r="D10" s="1659"/>
      <c r="E10" s="927" t="s">
        <v>4</v>
      </c>
      <c r="F10" s="928">
        <f>SUM(F8:F9)</f>
        <v>9600</v>
      </c>
      <c r="G10" s="925"/>
      <c r="H10" s="925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1655"/>
    </row>
    <row r="11" spans="1:21" s="29" customFormat="1" ht="56.25">
      <c r="A11" s="1289" t="s">
        <v>1124</v>
      </c>
      <c r="B11" s="1275"/>
      <c r="C11" s="1275"/>
      <c r="D11" s="1289" t="s">
        <v>1125</v>
      </c>
      <c r="E11" s="202" t="s">
        <v>1126</v>
      </c>
      <c r="F11" s="203">
        <v>19440</v>
      </c>
      <c r="G11" s="361" t="s">
        <v>77</v>
      </c>
      <c r="H11" s="362" t="s">
        <v>71</v>
      </c>
      <c r="I11" s="363">
        <v>1620</v>
      </c>
      <c r="J11" s="364">
        <v>1620</v>
      </c>
      <c r="K11" s="365">
        <v>1620</v>
      </c>
      <c r="L11" s="364">
        <v>1620</v>
      </c>
      <c r="M11" s="364">
        <v>1620</v>
      </c>
      <c r="N11" s="364">
        <v>1620</v>
      </c>
      <c r="O11" s="364">
        <v>1620</v>
      </c>
      <c r="P11" s="364">
        <v>1620</v>
      </c>
      <c r="Q11" s="364">
        <v>1620</v>
      </c>
      <c r="R11" s="365">
        <v>1620</v>
      </c>
      <c r="S11" s="364">
        <v>1620</v>
      </c>
      <c r="T11" s="364">
        <v>1620</v>
      </c>
      <c r="U11" s="1296" t="s">
        <v>1122</v>
      </c>
    </row>
    <row r="12" spans="1:21" s="29" customFormat="1" ht="18.75">
      <c r="A12" s="1291"/>
      <c r="B12" s="1285"/>
      <c r="C12" s="1285"/>
      <c r="D12" s="1291"/>
      <c r="E12" s="366" t="s">
        <v>4</v>
      </c>
      <c r="F12" s="367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298"/>
    </row>
    <row r="13" spans="1:21" s="29" customFormat="1" ht="56.25">
      <c r="A13" s="1550" t="s">
        <v>1127</v>
      </c>
      <c r="B13" s="1550" t="s">
        <v>1128</v>
      </c>
      <c r="C13" s="1550"/>
      <c r="D13" s="1648" t="s">
        <v>1129</v>
      </c>
      <c r="E13" s="937" t="s">
        <v>1130</v>
      </c>
      <c r="F13" s="938">
        <v>4000</v>
      </c>
      <c r="G13" s="1552" t="s">
        <v>77</v>
      </c>
      <c r="H13" s="1588" t="s">
        <v>1131</v>
      </c>
      <c r="I13" s="1647"/>
      <c r="J13" s="1647"/>
      <c r="K13" s="1647"/>
      <c r="L13" s="1647"/>
      <c r="M13" s="1647"/>
      <c r="N13" s="1647"/>
      <c r="O13" s="1647"/>
      <c r="P13" s="1647"/>
      <c r="Q13" s="1647"/>
      <c r="R13" s="1647"/>
      <c r="S13" s="1647"/>
      <c r="T13" s="1647"/>
      <c r="U13" s="1588" t="s">
        <v>1132</v>
      </c>
    </row>
    <row r="14" spans="1:21" s="29" customFormat="1" ht="37.5">
      <c r="A14" s="1550"/>
      <c r="B14" s="1550"/>
      <c r="C14" s="1550"/>
      <c r="D14" s="1550"/>
      <c r="E14" s="939" t="s">
        <v>1133</v>
      </c>
      <c r="F14" s="940">
        <v>8000</v>
      </c>
      <c r="G14" s="1587"/>
      <c r="H14" s="1638"/>
      <c r="I14" s="1647"/>
      <c r="J14" s="1647"/>
      <c r="K14" s="1647"/>
      <c r="L14" s="1647"/>
      <c r="M14" s="1647"/>
      <c r="N14" s="1647"/>
      <c r="O14" s="1647"/>
      <c r="P14" s="1647"/>
      <c r="Q14" s="1647"/>
      <c r="R14" s="1647"/>
      <c r="S14" s="1647"/>
      <c r="T14" s="1647"/>
      <c r="U14" s="1638"/>
    </row>
    <row r="15" spans="1:21" s="29" customFormat="1" ht="56.25">
      <c r="A15" s="1550"/>
      <c r="B15" s="1550"/>
      <c r="C15" s="1550"/>
      <c r="D15" s="1648"/>
      <c r="E15" s="941" t="s">
        <v>1134</v>
      </c>
      <c r="F15" s="940">
        <v>1800</v>
      </c>
      <c r="G15" s="1649"/>
      <c r="H15" s="1638"/>
      <c r="I15" s="1647"/>
      <c r="J15" s="1647"/>
      <c r="K15" s="1647"/>
      <c r="L15" s="1647"/>
      <c r="M15" s="1647"/>
      <c r="N15" s="1647"/>
      <c r="O15" s="1647"/>
      <c r="P15" s="1647"/>
      <c r="Q15" s="1647"/>
      <c r="R15" s="1647"/>
      <c r="S15" s="1647"/>
      <c r="T15" s="1647"/>
      <c r="U15" s="1638"/>
    </row>
    <row r="16" spans="1:21" s="29" customFormat="1" ht="56.25">
      <c r="A16" s="1550"/>
      <c r="B16" s="1550"/>
      <c r="C16" s="1550"/>
      <c r="D16" s="1550"/>
      <c r="E16" s="942" t="s">
        <v>1135</v>
      </c>
      <c r="F16" s="940">
        <v>7200</v>
      </c>
      <c r="G16" s="1587"/>
      <c r="H16" s="1638"/>
      <c r="I16" s="1647"/>
      <c r="J16" s="1647"/>
      <c r="K16" s="1647"/>
      <c r="L16" s="1647"/>
      <c r="M16" s="1647"/>
      <c r="N16" s="1647"/>
      <c r="O16" s="1647"/>
      <c r="P16" s="1647"/>
      <c r="Q16" s="1647"/>
      <c r="R16" s="1647"/>
      <c r="S16" s="1647"/>
      <c r="T16" s="1647"/>
      <c r="U16" s="1638"/>
    </row>
    <row r="17" spans="1:21" s="29" customFormat="1" ht="37.5">
      <c r="A17" s="1550"/>
      <c r="B17" s="1550"/>
      <c r="C17" s="1550"/>
      <c r="D17" s="1550"/>
      <c r="E17" s="939" t="s">
        <v>1136</v>
      </c>
      <c r="F17" s="940">
        <v>5000</v>
      </c>
      <c r="G17" s="1587"/>
      <c r="H17" s="1638"/>
      <c r="I17" s="1647"/>
      <c r="J17" s="1647"/>
      <c r="K17" s="1647"/>
      <c r="L17" s="1647"/>
      <c r="M17" s="1647"/>
      <c r="N17" s="1647"/>
      <c r="O17" s="1647"/>
      <c r="P17" s="1647"/>
      <c r="Q17" s="1647"/>
      <c r="R17" s="1647"/>
      <c r="S17" s="1647"/>
      <c r="T17" s="1647"/>
      <c r="U17" s="1638"/>
    </row>
    <row r="18" spans="1:21" s="29" customFormat="1" ht="18.75">
      <c r="A18" s="1550"/>
      <c r="B18" s="1550"/>
      <c r="C18" s="1550"/>
      <c r="D18" s="1550"/>
      <c r="E18" s="943" t="s">
        <v>1137</v>
      </c>
      <c r="F18" s="944">
        <v>4000</v>
      </c>
      <c r="G18" s="1587"/>
      <c r="H18" s="1638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38"/>
    </row>
    <row r="19" spans="1:21" s="29" customFormat="1" ht="18.75">
      <c r="A19" s="1550"/>
      <c r="B19" s="1550"/>
      <c r="C19" s="1550"/>
      <c r="D19" s="1550"/>
      <c r="E19" s="945" t="s">
        <v>702</v>
      </c>
      <c r="F19" s="946">
        <v>30000</v>
      </c>
      <c r="G19" s="1553"/>
      <c r="H19" s="1555"/>
      <c r="I19" s="1647"/>
      <c r="J19" s="1647"/>
      <c r="K19" s="1647"/>
      <c r="L19" s="1647"/>
      <c r="M19" s="1647"/>
      <c r="N19" s="1647"/>
      <c r="O19" s="1647"/>
      <c r="P19" s="1647"/>
      <c r="Q19" s="1647"/>
      <c r="R19" s="1647"/>
      <c r="S19" s="1647"/>
      <c r="T19" s="1647"/>
      <c r="U19" s="1555"/>
    </row>
    <row r="20" spans="1:21" s="29" customFormat="1" ht="56.25">
      <c r="A20" s="1292" t="s">
        <v>1138</v>
      </c>
      <c r="B20" s="1292" t="s">
        <v>1139</v>
      </c>
      <c r="C20" s="1292"/>
      <c r="D20" s="1292" t="s">
        <v>1140</v>
      </c>
      <c r="E20" s="368" t="s">
        <v>1141</v>
      </c>
      <c r="F20" s="338">
        <v>4000</v>
      </c>
      <c r="G20" s="1571" t="s">
        <v>1120</v>
      </c>
      <c r="H20" s="1330" t="s">
        <v>1142</v>
      </c>
      <c r="I20" s="1266"/>
      <c r="J20" s="1266"/>
      <c r="K20" s="1266"/>
      <c r="L20" s="1639"/>
      <c r="M20" s="1635"/>
      <c r="N20" s="1266"/>
      <c r="O20" s="1266"/>
      <c r="P20" s="1266"/>
      <c r="Q20" s="1266"/>
      <c r="R20" s="1266"/>
      <c r="S20" s="1266"/>
      <c r="T20" s="1266"/>
      <c r="U20" s="1556" t="s">
        <v>1143</v>
      </c>
    </row>
    <row r="21" spans="1:21" s="29" customFormat="1" ht="75">
      <c r="A21" s="1292"/>
      <c r="B21" s="1292"/>
      <c r="C21" s="1292"/>
      <c r="D21" s="1292"/>
      <c r="E21" s="369" t="s">
        <v>1144</v>
      </c>
      <c r="F21" s="340">
        <v>64000</v>
      </c>
      <c r="G21" s="1572"/>
      <c r="H21" s="1574"/>
      <c r="I21" s="1267"/>
      <c r="J21" s="1267"/>
      <c r="K21" s="1267"/>
      <c r="L21" s="1640"/>
      <c r="M21" s="1636"/>
      <c r="N21" s="1267"/>
      <c r="O21" s="1267"/>
      <c r="P21" s="1267"/>
      <c r="Q21" s="1267"/>
      <c r="R21" s="1267"/>
      <c r="S21" s="1267"/>
      <c r="T21" s="1267"/>
      <c r="U21" s="1582"/>
    </row>
    <row r="22" spans="1:21" s="29" customFormat="1" ht="56.25">
      <c r="A22" s="1292"/>
      <c r="B22" s="1292"/>
      <c r="C22" s="1292"/>
      <c r="D22" s="1292"/>
      <c r="E22" s="369" t="s">
        <v>1145</v>
      </c>
      <c r="F22" s="340">
        <v>1200</v>
      </c>
      <c r="G22" s="1572"/>
      <c r="H22" s="1574"/>
      <c r="I22" s="1267"/>
      <c r="J22" s="1267"/>
      <c r="K22" s="1267"/>
      <c r="L22" s="1640"/>
      <c r="M22" s="1636"/>
      <c r="N22" s="1267"/>
      <c r="O22" s="1267"/>
      <c r="P22" s="1267"/>
      <c r="Q22" s="1267"/>
      <c r="R22" s="1267"/>
      <c r="S22" s="1267"/>
      <c r="T22" s="1267"/>
      <c r="U22" s="1582"/>
    </row>
    <row r="23" spans="1:21" s="29" customFormat="1" ht="18.75">
      <c r="A23" s="1292"/>
      <c r="B23" s="1292"/>
      <c r="C23" s="1292"/>
      <c r="D23" s="1292"/>
      <c r="E23" s="370" t="s">
        <v>1137</v>
      </c>
      <c r="F23" s="341">
        <v>9000</v>
      </c>
      <c r="G23" s="1591"/>
      <c r="H23" s="1592"/>
      <c r="I23" s="1268"/>
      <c r="J23" s="1268"/>
      <c r="K23" s="1268"/>
      <c r="L23" s="1641"/>
      <c r="M23" s="1637"/>
      <c r="N23" s="1268"/>
      <c r="O23" s="1268"/>
      <c r="P23" s="1268"/>
      <c r="Q23" s="1268"/>
      <c r="R23" s="1268"/>
      <c r="S23" s="1268"/>
      <c r="T23" s="1268"/>
      <c r="U23" s="1583"/>
    </row>
    <row r="24" spans="1:21" s="29" customFormat="1" ht="18.75">
      <c r="A24" s="1292"/>
      <c r="B24" s="1292"/>
      <c r="C24" s="1292"/>
      <c r="D24" s="1292"/>
      <c r="E24" s="371" t="s">
        <v>4</v>
      </c>
      <c r="F24" s="280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56.25">
      <c r="A25" s="1550" t="s">
        <v>1146</v>
      </c>
      <c r="B25" s="1550" t="s">
        <v>1147</v>
      </c>
      <c r="C25" s="1550"/>
      <c r="D25" s="1550" t="s">
        <v>1148</v>
      </c>
      <c r="E25" s="947" t="s">
        <v>1149</v>
      </c>
      <c r="F25" s="938">
        <v>2000</v>
      </c>
      <c r="G25" s="1552" t="s">
        <v>77</v>
      </c>
      <c r="H25" s="1576">
        <v>22616</v>
      </c>
      <c r="I25" s="1546"/>
      <c r="J25" s="1546"/>
      <c r="K25" s="1566">
        <v>19400</v>
      </c>
      <c r="L25" s="1546"/>
      <c r="M25" s="1546"/>
      <c r="N25" s="1546"/>
      <c r="O25" s="1546"/>
      <c r="P25" s="1546"/>
      <c r="Q25" s="1546"/>
      <c r="R25" s="1546"/>
      <c r="S25" s="1546"/>
      <c r="T25" s="1546"/>
      <c r="U25" s="1642" t="s">
        <v>1150</v>
      </c>
    </row>
    <row r="26" spans="1:21" ht="37.5">
      <c r="A26" s="1550"/>
      <c r="B26" s="1550"/>
      <c r="C26" s="1550"/>
      <c r="D26" s="1550"/>
      <c r="E26" s="939" t="s">
        <v>1151</v>
      </c>
      <c r="F26" s="940">
        <v>4000</v>
      </c>
      <c r="G26" s="1587"/>
      <c r="H26" s="1638"/>
      <c r="I26" s="1575"/>
      <c r="J26" s="1575"/>
      <c r="K26" s="1578"/>
      <c r="L26" s="1575"/>
      <c r="M26" s="1575"/>
      <c r="N26" s="1575"/>
      <c r="O26" s="1575"/>
      <c r="P26" s="1575"/>
      <c r="Q26" s="1575"/>
      <c r="R26" s="1575"/>
      <c r="S26" s="1575"/>
      <c r="T26" s="1575"/>
      <c r="U26" s="1643"/>
    </row>
    <row r="27" spans="1:21" ht="37.5">
      <c r="A27" s="1550"/>
      <c r="B27" s="1550"/>
      <c r="C27" s="1550"/>
      <c r="D27" s="1550"/>
      <c r="E27" s="939" t="s">
        <v>1152</v>
      </c>
      <c r="F27" s="940">
        <v>2400</v>
      </c>
      <c r="G27" s="1587"/>
      <c r="H27" s="1638"/>
      <c r="I27" s="1575"/>
      <c r="J27" s="1575"/>
      <c r="K27" s="1578"/>
      <c r="L27" s="1575"/>
      <c r="M27" s="1575"/>
      <c r="N27" s="1575"/>
      <c r="O27" s="1575"/>
      <c r="P27" s="1575"/>
      <c r="Q27" s="1575"/>
      <c r="R27" s="1575"/>
      <c r="S27" s="1575"/>
      <c r="T27" s="1575"/>
      <c r="U27" s="1643"/>
    </row>
    <row r="28" spans="1:21" ht="56.25">
      <c r="A28" s="1550"/>
      <c r="B28" s="1550"/>
      <c r="C28" s="1550"/>
      <c r="D28" s="1550"/>
      <c r="E28" s="948" t="s">
        <v>1153</v>
      </c>
      <c r="F28" s="940">
        <v>3600</v>
      </c>
      <c r="G28" s="1587"/>
      <c r="H28" s="1638"/>
      <c r="I28" s="1575"/>
      <c r="J28" s="1575"/>
      <c r="K28" s="1578"/>
      <c r="L28" s="1575"/>
      <c r="M28" s="1575"/>
      <c r="N28" s="1575"/>
      <c r="O28" s="1575"/>
      <c r="P28" s="1575"/>
      <c r="Q28" s="1575"/>
      <c r="R28" s="1575"/>
      <c r="S28" s="1575"/>
      <c r="T28" s="1575"/>
      <c r="U28" s="1643"/>
    </row>
    <row r="29" spans="1:21" ht="37.5">
      <c r="A29" s="1550"/>
      <c r="B29" s="1550"/>
      <c r="C29" s="1550"/>
      <c r="D29" s="1550"/>
      <c r="E29" s="949" t="s">
        <v>1154</v>
      </c>
      <c r="F29" s="940">
        <v>1400</v>
      </c>
      <c r="G29" s="1587"/>
      <c r="H29" s="1638"/>
      <c r="I29" s="1575"/>
      <c r="J29" s="1575"/>
      <c r="K29" s="1578"/>
      <c r="L29" s="1575"/>
      <c r="M29" s="1575"/>
      <c r="N29" s="1575"/>
      <c r="O29" s="1575"/>
      <c r="P29" s="1575"/>
      <c r="Q29" s="1575"/>
      <c r="R29" s="1575"/>
      <c r="S29" s="1575"/>
      <c r="T29" s="1575"/>
      <c r="U29" s="1643"/>
    </row>
    <row r="30" spans="1:21" ht="18.75">
      <c r="A30" s="1550"/>
      <c r="B30" s="1550"/>
      <c r="C30" s="1550"/>
      <c r="D30" s="1550"/>
      <c r="E30" s="947" t="s">
        <v>1155</v>
      </c>
      <c r="F30" s="940">
        <v>3000</v>
      </c>
      <c r="G30" s="1587"/>
      <c r="H30" s="1638"/>
      <c r="I30" s="1575"/>
      <c r="J30" s="1575"/>
      <c r="K30" s="1578"/>
      <c r="L30" s="1575"/>
      <c r="M30" s="1575"/>
      <c r="N30" s="1575"/>
      <c r="O30" s="1575"/>
      <c r="P30" s="1575"/>
      <c r="Q30" s="1575"/>
      <c r="R30" s="1575"/>
      <c r="S30" s="1575"/>
      <c r="T30" s="1575"/>
      <c r="U30" s="1643"/>
    </row>
    <row r="31" spans="1:21" ht="18.75">
      <c r="A31" s="1550"/>
      <c r="B31" s="1550"/>
      <c r="C31" s="1550"/>
      <c r="D31" s="1550"/>
      <c r="E31" s="939" t="s">
        <v>1137</v>
      </c>
      <c r="F31" s="940">
        <v>2000</v>
      </c>
      <c r="G31" s="1587"/>
      <c r="H31" s="1638"/>
      <c r="I31" s="1575"/>
      <c r="J31" s="1575"/>
      <c r="K31" s="1578"/>
      <c r="L31" s="1575"/>
      <c r="M31" s="1575"/>
      <c r="N31" s="1575"/>
      <c r="O31" s="1575"/>
      <c r="P31" s="1575"/>
      <c r="Q31" s="1575"/>
      <c r="R31" s="1575"/>
      <c r="S31" s="1575"/>
      <c r="T31" s="1575"/>
      <c r="U31" s="1643"/>
    </row>
    <row r="32" spans="1:21" ht="18.75">
      <c r="A32" s="1550"/>
      <c r="B32" s="1550"/>
      <c r="C32" s="1550"/>
      <c r="D32" s="1550"/>
      <c r="E32" s="943" t="s">
        <v>992</v>
      </c>
      <c r="F32" s="944">
        <v>1000</v>
      </c>
      <c r="G32" s="1587"/>
      <c r="H32" s="1638"/>
      <c r="I32" s="1575"/>
      <c r="J32" s="1575"/>
      <c r="K32" s="1578"/>
      <c r="L32" s="1575"/>
      <c r="M32" s="1575"/>
      <c r="N32" s="1575"/>
      <c r="O32" s="1575"/>
      <c r="P32" s="1575"/>
      <c r="Q32" s="1575"/>
      <c r="R32" s="1575"/>
      <c r="S32" s="1575"/>
      <c r="T32" s="1575"/>
      <c r="U32" s="1643"/>
    </row>
    <row r="33" spans="1:21" ht="18.75">
      <c r="A33" s="1550"/>
      <c r="B33" s="1550"/>
      <c r="C33" s="1550"/>
      <c r="D33" s="1550"/>
      <c r="E33" s="950" t="s">
        <v>4</v>
      </c>
      <c r="F33" s="946">
        <v>19400</v>
      </c>
      <c r="G33" s="1553"/>
      <c r="H33" s="1555"/>
      <c r="I33" s="1547"/>
      <c r="J33" s="1547"/>
      <c r="K33" s="1567"/>
      <c r="L33" s="1547"/>
      <c r="M33" s="1547"/>
      <c r="N33" s="1547"/>
      <c r="O33" s="1547"/>
      <c r="P33" s="1547"/>
      <c r="Q33" s="1547"/>
      <c r="R33" s="1547"/>
      <c r="S33" s="1547"/>
      <c r="T33" s="1547"/>
      <c r="U33" s="1644"/>
    </row>
    <row r="34" spans="1:21" ht="21.75">
      <c r="A34" s="1584" t="s">
        <v>1156</v>
      </c>
      <c r="B34" s="1585"/>
      <c r="C34" s="1585"/>
      <c r="D34" s="1585"/>
      <c r="E34" s="1585"/>
      <c r="F34" s="1585"/>
      <c r="G34" s="1585"/>
      <c r="H34" s="1585"/>
      <c r="I34" s="1585"/>
      <c r="J34" s="1585"/>
      <c r="K34" s="1585"/>
      <c r="L34" s="1585"/>
      <c r="M34" s="1585"/>
      <c r="N34" s="1585"/>
      <c r="O34" s="1585"/>
      <c r="P34" s="1585"/>
      <c r="Q34" s="1585"/>
      <c r="R34" s="1585"/>
      <c r="S34" s="1585"/>
      <c r="T34" s="1585"/>
      <c r="U34" s="1586"/>
    </row>
    <row r="35" spans="1:21" s="29" customFormat="1" ht="18.75">
      <c r="A35" s="1289" t="s">
        <v>1427</v>
      </c>
      <c r="B35" s="1289" t="s">
        <v>1157</v>
      </c>
      <c r="C35" s="1275"/>
      <c r="D35" s="1289" t="s">
        <v>1158</v>
      </c>
      <c r="E35" s="372" t="s">
        <v>1159</v>
      </c>
      <c r="F35" s="203">
        <v>106800</v>
      </c>
      <c r="G35" s="1627" t="s">
        <v>1160</v>
      </c>
      <c r="H35" s="1630">
        <v>22616</v>
      </c>
      <c r="I35" s="1266"/>
      <c r="J35" s="1564"/>
      <c r="K35" s="1564">
        <v>106800</v>
      </c>
      <c r="L35" s="1266"/>
      <c r="M35" s="1266"/>
      <c r="N35" s="1266"/>
      <c r="O35" s="1266"/>
      <c r="P35" s="1266"/>
      <c r="Q35" s="1266"/>
      <c r="R35" s="1266"/>
      <c r="S35" s="1266"/>
      <c r="T35" s="1266"/>
      <c r="U35" s="1330" t="s">
        <v>1161</v>
      </c>
    </row>
    <row r="36" spans="1:21" s="29" customFormat="1" ht="56.25">
      <c r="A36" s="1290"/>
      <c r="B36" s="1290"/>
      <c r="C36" s="1284"/>
      <c r="D36" s="1290"/>
      <c r="E36" s="373" t="s">
        <v>1162</v>
      </c>
      <c r="F36" s="338">
        <v>8400</v>
      </c>
      <c r="G36" s="1628"/>
      <c r="H36" s="1331"/>
      <c r="I36" s="1267"/>
      <c r="J36" s="1565"/>
      <c r="K36" s="1565"/>
      <c r="L36" s="1267"/>
      <c r="M36" s="1267"/>
      <c r="N36" s="1267"/>
      <c r="O36" s="1267"/>
      <c r="P36" s="1267"/>
      <c r="Q36" s="1267"/>
      <c r="R36" s="1267"/>
      <c r="S36" s="1267"/>
      <c r="T36" s="1267"/>
      <c r="U36" s="1574"/>
    </row>
    <row r="37" spans="1:21" s="29" customFormat="1" ht="56.25">
      <c r="A37" s="1290"/>
      <c r="B37" s="1290"/>
      <c r="C37" s="1284"/>
      <c r="D37" s="1290"/>
      <c r="E37" s="374" t="s">
        <v>1163</v>
      </c>
      <c r="F37" s="340">
        <v>25200</v>
      </c>
      <c r="G37" s="1628"/>
      <c r="H37" s="1331"/>
      <c r="I37" s="1267"/>
      <c r="J37" s="1565"/>
      <c r="K37" s="1565"/>
      <c r="L37" s="1267"/>
      <c r="M37" s="1267"/>
      <c r="N37" s="1267"/>
      <c r="O37" s="1267"/>
      <c r="P37" s="1267"/>
      <c r="Q37" s="1267"/>
      <c r="R37" s="1267"/>
      <c r="S37" s="1267"/>
      <c r="T37" s="1267"/>
      <c r="U37" s="1574"/>
    </row>
    <row r="38" spans="1:21" s="29" customFormat="1" ht="37.5">
      <c r="A38" s="1290"/>
      <c r="B38" s="1290"/>
      <c r="C38" s="1284"/>
      <c r="D38" s="1290"/>
      <c r="E38" s="374" t="s">
        <v>1164</v>
      </c>
      <c r="F38" s="340">
        <v>14700</v>
      </c>
      <c r="G38" s="1628"/>
      <c r="H38" s="1331"/>
      <c r="I38" s="1267"/>
      <c r="J38" s="1565"/>
      <c r="K38" s="1565"/>
      <c r="L38" s="1267"/>
      <c r="M38" s="1267"/>
      <c r="N38" s="1267"/>
      <c r="O38" s="1267"/>
      <c r="P38" s="1267"/>
      <c r="Q38" s="1267"/>
      <c r="R38" s="1267"/>
      <c r="S38" s="1267"/>
      <c r="T38" s="1267"/>
      <c r="U38" s="1574"/>
    </row>
    <row r="39" spans="1:21" s="29" customFormat="1" ht="37.5">
      <c r="A39" s="1290"/>
      <c r="B39" s="1290"/>
      <c r="C39" s="1284"/>
      <c r="D39" s="1290"/>
      <c r="E39" s="375" t="s">
        <v>1165</v>
      </c>
      <c r="F39" s="376">
        <v>6400</v>
      </c>
      <c r="G39" s="1628"/>
      <c r="H39" s="1331"/>
      <c r="I39" s="1267"/>
      <c r="J39" s="1565"/>
      <c r="K39" s="1565"/>
      <c r="L39" s="1267"/>
      <c r="M39" s="1267"/>
      <c r="N39" s="1267"/>
      <c r="O39" s="1267"/>
      <c r="P39" s="1267"/>
      <c r="Q39" s="1267"/>
      <c r="R39" s="1267"/>
      <c r="S39" s="1267"/>
      <c r="T39" s="1267"/>
      <c r="U39" s="1574"/>
    </row>
    <row r="40" spans="1:21" s="29" customFormat="1" ht="37.5">
      <c r="A40" s="1290"/>
      <c r="B40" s="1290"/>
      <c r="C40" s="1284"/>
      <c r="D40" s="1290"/>
      <c r="E40" s="374" t="s">
        <v>1166</v>
      </c>
      <c r="F40" s="340">
        <v>4000</v>
      </c>
      <c r="G40" s="1628"/>
      <c r="H40" s="1331"/>
      <c r="I40" s="1267"/>
      <c r="J40" s="1565"/>
      <c r="K40" s="1565"/>
      <c r="L40" s="1267"/>
      <c r="M40" s="1267"/>
      <c r="N40" s="1267"/>
      <c r="O40" s="1267"/>
      <c r="P40" s="1267"/>
      <c r="Q40" s="1267"/>
      <c r="R40" s="1267"/>
      <c r="S40" s="1267"/>
      <c r="T40" s="1267"/>
      <c r="U40" s="1574"/>
    </row>
    <row r="41" spans="1:21" s="29" customFormat="1" ht="56.25">
      <c r="A41" s="1290"/>
      <c r="B41" s="1290"/>
      <c r="C41" s="1284"/>
      <c r="D41" s="1307"/>
      <c r="E41" s="374" t="s">
        <v>1167</v>
      </c>
      <c r="F41" s="340">
        <v>3600</v>
      </c>
      <c r="G41" s="1629"/>
      <c r="H41" s="1331"/>
      <c r="I41" s="1267"/>
      <c r="J41" s="1565"/>
      <c r="K41" s="1565"/>
      <c r="L41" s="1267"/>
      <c r="M41" s="1267"/>
      <c r="N41" s="1267"/>
      <c r="O41" s="1267"/>
      <c r="P41" s="1267"/>
      <c r="Q41" s="1267"/>
      <c r="R41" s="1267"/>
      <c r="S41" s="1267"/>
      <c r="T41" s="1267"/>
      <c r="U41" s="1574"/>
    </row>
    <row r="42" spans="1:21" s="29" customFormat="1" ht="56.25">
      <c r="A42" s="1290"/>
      <c r="B42" s="1290"/>
      <c r="C42" s="1284"/>
      <c r="D42" s="1290"/>
      <c r="E42" s="374" t="s">
        <v>1168</v>
      </c>
      <c r="F42" s="340">
        <v>7200</v>
      </c>
      <c r="G42" s="1628"/>
      <c r="H42" s="1331"/>
      <c r="I42" s="1267"/>
      <c r="J42" s="1565"/>
      <c r="K42" s="1565"/>
      <c r="L42" s="1267"/>
      <c r="M42" s="1267"/>
      <c r="N42" s="1267"/>
      <c r="O42" s="1267"/>
      <c r="P42" s="1267"/>
      <c r="Q42" s="1267"/>
      <c r="R42" s="1267"/>
      <c r="S42" s="1267"/>
      <c r="T42" s="1267"/>
      <c r="U42" s="1574"/>
    </row>
    <row r="43" spans="1:21" s="29" customFormat="1" ht="37.5">
      <c r="A43" s="1290"/>
      <c r="B43" s="1290"/>
      <c r="C43" s="1284"/>
      <c r="D43" s="1290"/>
      <c r="E43" s="374" t="s">
        <v>1169</v>
      </c>
      <c r="F43" s="340">
        <v>9600</v>
      </c>
      <c r="G43" s="1628"/>
      <c r="H43" s="1331"/>
      <c r="I43" s="1267"/>
      <c r="J43" s="1565"/>
      <c r="K43" s="1565"/>
      <c r="L43" s="1267"/>
      <c r="M43" s="1267"/>
      <c r="N43" s="1267"/>
      <c r="O43" s="1267"/>
      <c r="P43" s="1267"/>
      <c r="Q43" s="1267"/>
      <c r="R43" s="1267"/>
      <c r="S43" s="1267"/>
      <c r="T43" s="1267"/>
      <c r="U43" s="1574"/>
    </row>
    <row r="44" spans="1:21" s="29" customFormat="1" ht="56.25">
      <c r="A44" s="1290"/>
      <c r="B44" s="1290"/>
      <c r="C44" s="1284"/>
      <c r="D44" s="1290"/>
      <c r="E44" s="374" t="s">
        <v>1170</v>
      </c>
      <c r="F44" s="340">
        <v>27200</v>
      </c>
      <c r="G44" s="1628"/>
      <c r="H44" s="1331"/>
      <c r="I44" s="1267"/>
      <c r="J44" s="1565"/>
      <c r="K44" s="1565"/>
      <c r="L44" s="1267"/>
      <c r="M44" s="1267"/>
      <c r="N44" s="1267"/>
      <c r="O44" s="1267"/>
      <c r="P44" s="1267"/>
      <c r="Q44" s="1267"/>
      <c r="R44" s="1267"/>
      <c r="S44" s="1267"/>
      <c r="T44" s="1267"/>
      <c r="U44" s="1574"/>
    </row>
    <row r="45" spans="1:21" s="29" customFormat="1" ht="18.75">
      <c r="A45" s="1290"/>
      <c r="B45" s="1290"/>
      <c r="C45" s="1284"/>
      <c r="D45" s="1290"/>
      <c r="E45" s="374" t="s">
        <v>1137</v>
      </c>
      <c r="F45" s="340">
        <v>500</v>
      </c>
      <c r="G45" s="1628"/>
      <c r="H45" s="1331"/>
      <c r="I45" s="1267"/>
      <c r="J45" s="1565"/>
      <c r="K45" s="1565"/>
      <c r="L45" s="1267"/>
      <c r="M45" s="1267"/>
      <c r="N45" s="1267"/>
      <c r="O45" s="1267"/>
      <c r="P45" s="1267"/>
      <c r="Q45" s="1267"/>
      <c r="R45" s="1267"/>
      <c r="S45" s="1267"/>
      <c r="T45" s="1267"/>
      <c r="U45" s="1592"/>
    </row>
    <row r="46" spans="1:21" s="29" customFormat="1" ht="18.75">
      <c r="A46" s="1290"/>
      <c r="B46" s="1290"/>
      <c r="C46" s="1284"/>
      <c r="D46" s="1290"/>
      <c r="E46" s="372" t="s">
        <v>1171</v>
      </c>
      <c r="F46" s="203">
        <v>9000</v>
      </c>
      <c r="G46" s="1627" t="s">
        <v>1160</v>
      </c>
      <c r="H46" s="1630">
        <v>22616</v>
      </c>
      <c r="I46" s="1573"/>
      <c r="J46" s="1573"/>
      <c r="K46" s="1632">
        <v>9000</v>
      </c>
      <c r="L46" s="1266"/>
      <c r="M46" s="1266"/>
      <c r="N46" s="1266"/>
      <c r="O46" s="1266"/>
      <c r="P46" s="1266"/>
      <c r="Q46" s="1266"/>
      <c r="R46" s="1266"/>
      <c r="S46" s="1266"/>
      <c r="T46" s="1266"/>
      <c r="U46" s="1573" t="s">
        <v>1172</v>
      </c>
    </row>
    <row r="47" spans="1:21" s="29" customFormat="1" ht="56.25">
      <c r="A47" s="1290"/>
      <c r="B47" s="1290"/>
      <c r="C47" s="1284"/>
      <c r="D47" s="1290"/>
      <c r="E47" s="373" t="s">
        <v>1173</v>
      </c>
      <c r="F47" s="338">
        <v>1600</v>
      </c>
      <c r="G47" s="1628"/>
      <c r="H47" s="1331"/>
      <c r="I47" s="1574"/>
      <c r="J47" s="1574"/>
      <c r="K47" s="1633"/>
      <c r="L47" s="1267"/>
      <c r="M47" s="1267"/>
      <c r="N47" s="1267"/>
      <c r="O47" s="1267"/>
      <c r="P47" s="1267"/>
      <c r="Q47" s="1267"/>
      <c r="R47" s="1267"/>
      <c r="S47" s="1267"/>
      <c r="T47" s="1267"/>
      <c r="U47" s="1574"/>
    </row>
    <row r="48" spans="1:21" s="29" customFormat="1" ht="37.5">
      <c r="A48" s="1290"/>
      <c r="B48" s="1290"/>
      <c r="C48" s="1284"/>
      <c r="D48" s="1290"/>
      <c r="E48" s="374" t="s">
        <v>1174</v>
      </c>
      <c r="F48" s="340">
        <v>3200</v>
      </c>
      <c r="G48" s="1628"/>
      <c r="H48" s="1331"/>
      <c r="I48" s="1574"/>
      <c r="J48" s="1574"/>
      <c r="K48" s="1633"/>
      <c r="L48" s="1267"/>
      <c r="M48" s="1267"/>
      <c r="N48" s="1267"/>
      <c r="O48" s="1267"/>
      <c r="P48" s="1267"/>
      <c r="Q48" s="1267"/>
      <c r="R48" s="1267"/>
      <c r="S48" s="1267"/>
      <c r="T48" s="1267"/>
      <c r="U48" s="1574"/>
    </row>
    <row r="49" spans="1:21" s="29" customFormat="1" ht="37.5">
      <c r="A49" s="1290"/>
      <c r="B49" s="1290"/>
      <c r="C49" s="1284"/>
      <c r="D49" s="1290"/>
      <c r="E49" s="377" t="s">
        <v>1175</v>
      </c>
      <c r="F49" s="341">
        <v>4200</v>
      </c>
      <c r="G49" s="1631"/>
      <c r="H49" s="1332"/>
      <c r="I49" s="1592"/>
      <c r="J49" s="1592"/>
      <c r="K49" s="1634"/>
      <c r="L49" s="1268"/>
      <c r="M49" s="1268"/>
      <c r="N49" s="1268"/>
      <c r="O49" s="1268"/>
      <c r="P49" s="1268"/>
      <c r="Q49" s="1268"/>
      <c r="R49" s="1268"/>
      <c r="S49" s="1268"/>
      <c r="T49" s="1268"/>
      <c r="U49" s="1592"/>
    </row>
    <row r="50" spans="1:21" s="29" customFormat="1" ht="18.75">
      <c r="A50" s="1291"/>
      <c r="B50" s="1291"/>
      <c r="C50" s="1285"/>
      <c r="D50" s="1291"/>
      <c r="E50" s="371" t="s">
        <v>4</v>
      </c>
      <c r="F50" s="378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9" customFormat="1" ht="56.25">
      <c r="A51" s="1289" t="s">
        <v>1428</v>
      </c>
      <c r="B51" s="1289" t="s">
        <v>1176</v>
      </c>
      <c r="C51" s="1289"/>
      <c r="D51" s="1289" t="s">
        <v>1177</v>
      </c>
      <c r="E51" s="379" t="s">
        <v>1178</v>
      </c>
      <c r="F51" s="380">
        <v>2000</v>
      </c>
      <c r="G51" s="1571" t="s">
        <v>1120</v>
      </c>
      <c r="H51" s="1593">
        <v>22678</v>
      </c>
      <c r="I51" s="1266"/>
      <c r="J51" s="1266"/>
      <c r="K51" s="1266"/>
      <c r="L51" s="1266"/>
      <c r="M51" s="1564">
        <v>19400</v>
      </c>
      <c r="N51" s="1266"/>
      <c r="O51" s="1266"/>
      <c r="P51" s="1266"/>
      <c r="Q51" s="1266"/>
      <c r="R51" s="1266"/>
      <c r="S51" s="1266"/>
      <c r="T51" s="1266"/>
      <c r="U51" s="1581" t="s">
        <v>1150</v>
      </c>
    </row>
    <row r="52" spans="1:21" s="29" customFormat="1" ht="37.5">
      <c r="A52" s="1290"/>
      <c r="B52" s="1290"/>
      <c r="C52" s="1290"/>
      <c r="D52" s="1290"/>
      <c r="E52" s="381" t="s">
        <v>1179</v>
      </c>
      <c r="F52" s="380">
        <v>4000</v>
      </c>
      <c r="G52" s="1572"/>
      <c r="H52" s="1624"/>
      <c r="I52" s="1267"/>
      <c r="J52" s="1267"/>
      <c r="K52" s="1267"/>
      <c r="L52" s="1267"/>
      <c r="M52" s="1565"/>
      <c r="N52" s="1267"/>
      <c r="O52" s="1267"/>
      <c r="P52" s="1267"/>
      <c r="Q52" s="1267"/>
      <c r="R52" s="1267"/>
      <c r="S52" s="1267"/>
      <c r="T52" s="1267"/>
      <c r="U52" s="1582"/>
    </row>
    <row r="53" spans="1:21" s="29" customFormat="1" ht="56.25">
      <c r="A53" s="1290"/>
      <c r="B53" s="1290"/>
      <c r="C53" s="1290"/>
      <c r="D53" s="1290"/>
      <c r="E53" s="381" t="s">
        <v>1180</v>
      </c>
      <c r="F53" s="380">
        <v>2400</v>
      </c>
      <c r="G53" s="1572"/>
      <c r="H53" s="1624"/>
      <c r="I53" s="1267"/>
      <c r="J53" s="1267"/>
      <c r="K53" s="1267"/>
      <c r="L53" s="1267"/>
      <c r="M53" s="1565"/>
      <c r="N53" s="1267"/>
      <c r="O53" s="1267"/>
      <c r="P53" s="1267"/>
      <c r="Q53" s="1267"/>
      <c r="R53" s="1267"/>
      <c r="S53" s="1267"/>
      <c r="T53" s="1267"/>
      <c r="U53" s="1582"/>
    </row>
    <row r="54" spans="1:21" s="29" customFormat="1" ht="56.25">
      <c r="A54" s="1290"/>
      <c r="B54" s="1290"/>
      <c r="C54" s="1290"/>
      <c r="D54" s="1290"/>
      <c r="E54" s="381" t="s">
        <v>1181</v>
      </c>
      <c r="F54" s="203">
        <v>3600</v>
      </c>
      <c r="G54" s="1572"/>
      <c r="H54" s="1624"/>
      <c r="I54" s="1267"/>
      <c r="J54" s="1267"/>
      <c r="K54" s="1267"/>
      <c r="L54" s="1267"/>
      <c r="M54" s="1565"/>
      <c r="N54" s="1267"/>
      <c r="O54" s="1267"/>
      <c r="P54" s="1267"/>
      <c r="Q54" s="1267"/>
      <c r="R54" s="1267"/>
      <c r="S54" s="1267"/>
      <c r="T54" s="1267"/>
      <c r="U54" s="1582"/>
    </row>
    <row r="55" spans="1:21" s="29" customFormat="1" ht="37.5">
      <c r="A55" s="1290"/>
      <c r="B55" s="1290"/>
      <c r="C55" s="1290"/>
      <c r="D55" s="1290"/>
      <c r="E55" s="381" t="s">
        <v>1182</v>
      </c>
      <c r="F55" s="203">
        <v>1400</v>
      </c>
      <c r="G55" s="1572"/>
      <c r="H55" s="1624"/>
      <c r="I55" s="1267"/>
      <c r="J55" s="1267"/>
      <c r="K55" s="1267"/>
      <c r="L55" s="1267"/>
      <c r="M55" s="1565"/>
      <c r="N55" s="1267"/>
      <c r="O55" s="1267"/>
      <c r="P55" s="1267"/>
      <c r="Q55" s="1267"/>
      <c r="R55" s="1267"/>
      <c r="S55" s="1267"/>
      <c r="T55" s="1267"/>
      <c r="U55" s="1582"/>
    </row>
    <row r="56" spans="1:21" s="29" customFormat="1" ht="18.75">
      <c r="A56" s="1290"/>
      <c r="B56" s="1290"/>
      <c r="C56" s="1290"/>
      <c r="D56" s="1290"/>
      <c r="E56" s="194" t="s">
        <v>1155</v>
      </c>
      <c r="F56" s="203">
        <v>3000</v>
      </c>
      <c r="G56" s="1572"/>
      <c r="H56" s="1624"/>
      <c r="I56" s="1267"/>
      <c r="J56" s="1267"/>
      <c r="K56" s="1267"/>
      <c r="L56" s="1267"/>
      <c r="M56" s="1565"/>
      <c r="N56" s="1267"/>
      <c r="O56" s="1267"/>
      <c r="P56" s="1267"/>
      <c r="Q56" s="1267"/>
      <c r="R56" s="1267"/>
      <c r="S56" s="1267"/>
      <c r="T56" s="1267"/>
      <c r="U56" s="1582"/>
    </row>
    <row r="57" spans="1:21" s="29" customFormat="1" ht="18.75">
      <c r="A57" s="1290"/>
      <c r="B57" s="1290"/>
      <c r="C57" s="1290"/>
      <c r="D57" s="1290"/>
      <c r="E57" s="195" t="s">
        <v>1137</v>
      </c>
      <c r="F57" s="203">
        <v>2900</v>
      </c>
      <c r="G57" s="1572"/>
      <c r="H57" s="1624"/>
      <c r="I57" s="1267"/>
      <c r="J57" s="1267"/>
      <c r="K57" s="1267"/>
      <c r="L57" s="1267"/>
      <c r="M57" s="1565"/>
      <c r="N57" s="1267"/>
      <c r="O57" s="1267"/>
      <c r="P57" s="1267"/>
      <c r="Q57" s="1267"/>
      <c r="R57" s="1267"/>
      <c r="S57" s="1267"/>
      <c r="T57" s="1267"/>
      <c r="U57" s="1582"/>
    </row>
    <row r="58" spans="1:21" s="29" customFormat="1" ht="18.75">
      <c r="A58" s="1290"/>
      <c r="B58" s="1290"/>
      <c r="C58" s="1290"/>
      <c r="D58" s="1290"/>
      <c r="E58" s="196" t="s">
        <v>992</v>
      </c>
      <c r="F58" s="203">
        <v>1000</v>
      </c>
      <c r="G58" s="1591"/>
      <c r="H58" s="1625"/>
      <c r="I58" s="1268"/>
      <c r="J58" s="1268"/>
      <c r="K58" s="1268"/>
      <c r="L58" s="1268"/>
      <c r="M58" s="1626"/>
      <c r="N58" s="1268"/>
      <c r="O58" s="1268"/>
      <c r="P58" s="1268"/>
      <c r="Q58" s="1268"/>
      <c r="R58" s="1268"/>
      <c r="S58" s="1268"/>
      <c r="T58" s="1268"/>
      <c r="U58" s="1583"/>
    </row>
    <row r="59" spans="1:21" s="29" customFormat="1" ht="18.75">
      <c r="A59" s="1291"/>
      <c r="B59" s="1291"/>
      <c r="C59" s="1291"/>
      <c r="D59" s="1291"/>
      <c r="E59" s="287" t="s">
        <v>4</v>
      </c>
      <c r="F59" s="203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9" customFormat="1" ht="56.25">
      <c r="A60" s="1603" t="s">
        <v>1183</v>
      </c>
      <c r="B60" s="1603" t="s">
        <v>1184</v>
      </c>
      <c r="C60" s="1615"/>
      <c r="D60" s="1603" t="s">
        <v>1185</v>
      </c>
      <c r="E60" s="936" t="s">
        <v>1186</v>
      </c>
      <c r="F60" s="924">
        <v>1600</v>
      </c>
      <c r="G60" s="1618" t="s">
        <v>1120</v>
      </c>
      <c r="H60" s="1621">
        <v>22737</v>
      </c>
      <c r="I60" s="1597"/>
      <c r="J60" s="1597"/>
      <c r="K60" s="1597"/>
      <c r="L60" s="1597"/>
      <c r="M60" s="1597"/>
      <c r="N60" s="1597"/>
      <c r="O60" s="1609">
        <v>11900</v>
      </c>
      <c r="P60" s="1597"/>
      <c r="Q60" s="1597"/>
      <c r="R60" s="1597"/>
      <c r="S60" s="1597"/>
      <c r="T60" s="1597"/>
      <c r="U60" s="1600" t="s">
        <v>1172</v>
      </c>
    </row>
    <row r="61" spans="1:21" s="29" customFormat="1" ht="37.5">
      <c r="A61" s="1604"/>
      <c r="B61" s="1604"/>
      <c r="C61" s="1616"/>
      <c r="D61" s="1604"/>
      <c r="E61" s="936" t="s">
        <v>1187</v>
      </c>
      <c r="F61" s="924">
        <v>3200</v>
      </c>
      <c r="G61" s="1619"/>
      <c r="H61" s="1622"/>
      <c r="I61" s="1598"/>
      <c r="J61" s="1598"/>
      <c r="K61" s="1598"/>
      <c r="L61" s="1598"/>
      <c r="M61" s="1598"/>
      <c r="N61" s="1598"/>
      <c r="O61" s="1610"/>
      <c r="P61" s="1598"/>
      <c r="Q61" s="1598"/>
      <c r="R61" s="1598"/>
      <c r="S61" s="1598"/>
      <c r="T61" s="1598"/>
      <c r="U61" s="1601"/>
    </row>
    <row r="62" spans="1:21" s="29" customFormat="1" ht="56.25">
      <c r="A62" s="1604"/>
      <c r="B62" s="1604"/>
      <c r="C62" s="1616"/>
      <c r="D62" s="1604"/>
      <c r="E62" s="936" t="s">
        <v>1188</v>
      </c>
      <c r="F62" s="924">
        <v>4200</v>
      </c>
      <c r="G62" s="1619"/>
      <c r="H62" s="1622"/>
      <c r="I62" s="1598"/>
      <c r="J62" s="1598"/>
      <c r="K62" s="1598"/>
      <c r="L62" s="1598"/>
      <c r="M62" s="1598"/>
      <c r="N62" s="1598"/>
      <c r="O62" s="1610"/>
      <c r="P62" s="1598"/>
      <c r="Q62" s="1598"/>
      <c r="R62" s="1598"/>
      <c r="S62" s="1598"/>
      <c r="T62" s="1598"/>
      <c r="U62" s="1601"/>
    </row>
    <row r="63" spans="1:21" s="29" customFormat="1" ht="18.75">
      <c r="A63" s="1604"/>
      <c r="B63" s="1604"/>
      <c r="C63" s="1616"/>
      <c r="D63" s="1604"/>
      <c r="E63" s="936" t="s">
        <v>1137</v>
      </c>
      <c r="F63" s="924">
        <v>2900</v>
      </c>
      <c r="G63" s="1620"/>
      <c r="H63" s="1623"/>
      <c r="I63" s="1599"/>
      <c r="J63" s="1599"/>
      <c r="K63" s="1599"/>
      <c r="L63" s="1599"/>
      <c r="M63" s="1599"/>
      <c r="N63" s="1599"/>
      <c r="O63" s="1611"/>
      <c r="P63" s="1599"/>
      <c r="Q63" s="1599"/>
      <c r="R63" s="1599"/>
      <c r="S63" s="1599"/>
      <c r="T63" s="1599"/>
      <c r="U63" s="1602"/>
    </row>
    <row r="64" spans="1:21" ht="18.75">
      <c r="A64" s="1605"/>
      <c r="B64" s="1605"/>
      <c r="C64" s="1617"/>
      <c r="D64" s="1605"/>
      <c r="E64" s="1036" t="s">
        <v>4</v>
      </c>
      <c r="F64" s="928">
        <v>11900</v>
      </c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</row>
    <row r="65" spans="1:21" ht="56.25">
      <c r="A65" s="1603" t="s">
        <v>1440</v>
      </c>
      <c r="B65" s="1603" t="s">
        <v>1189</v>
      </c>
      <c r="C65" s="1603"/>
      <c r="D65" s="1603" t="s">
        <v>1190</v>
      </c>
      <c r="E65" s="930" t="s">
        <v>1191</v>
      </c>
      <c r="F65" s="921">
        <v>2400</v>
      </c>
      <c r="G65" s="1606" t="s">
        <v>77</v>
      </c>
      <c r="H65" s="1612">
        <v>22859</v>
      </c>
      <c r="I65" s="1597"/>
      <c r="J65" s="1597"/>
      <c r="K65" s="1597"/>
      <c r="L65" s="1597"/>
      <c r="M65" s="1597"/>
      <c r="N65" s="1597"/>
      <c r="O65" s="1597"/>
      <c r="P65" s="1597"/>
      <c r="Q65" s="1597"/>
      <c r="R65" s="1597"/>
      <c r="S65" s="1609">
        <v>21400</v>
      </c>
      <c r="T65" s="1597"/>
      <c r="U65" s="1594" t="s">
        <v>1192</v>
      </c>
    </row>
    <row r="66" spans="1:21" ht="75">
      <c r="A66" s="1604"/>
      <c r="B66" s="1604"/>
      <c r="C66" s="1604"/>
      <c r="D66" s="1604"/>
      <c r="E66" s="931" t="s">
        <v>1193</v>
      </c>
      <c r="F66" s="929">
        <v>9000</v>
      </c>
      <c r="G66" s="1607"/>
      <c r="H66" s="1613"/>
      <c r="I66" s="1598"/>
      <c r="J66" s="1598"/>
      <c r="K66" s="1598"/>
      <c r="L66" s="1598"/>
      <c r="M66" s="1598"/>
      <c r="N66" s="1598"/>
      <c r="O66" s="1598"/>
      <c r="P66" s="1598"/>
      <c r="Q66" s="1598"/>
      <c r="R66" s="1598"/>
      <c r="S66" s="1610"/>
      <c r="T66" s="1598"/>
      <c r="U66" s="1595"/>
    </row>
    <row r="67" spans="1:21" ht="93.75">
      <c r="A67" s="1604"/>
      <c r="B67" s="1604"/>
      <c r="C67" s="1604"/>
      <c r="D67" s="1604"/>
      <c r="E67" s="932" t="s">
        <v>1194</v>
      </c>
      <c r="F67" s="929">
        <v>6000</v>
      </c>
      <c r="G67" s="1607"/>
      <c r="H67" s="1613"/>
      <c r="I67" s="1598"/>
      <c r="J67" s="1598"/>
      <c r="K67" s="1598"/>
      <c r="L67" s="1598"/>
      <c r="M67" s="1598"/>
      <c r="N67" s="1598"/>
      <c r="O67" s="1598"/>
      <c r="P67" s="1598"/>
      <c r="Q67" s="1598"/>
      <c r="R67" s="1598"/>
      <c r="S67" s="1610"/>
      <c r="T67" s="1598"/>
      <c r="U67" s="1595"/>
    </row>
    <row r="68" spans="1:21" ht="93.75">
      <c r="A68" s="1604"/>
      <c r="B68" s="1604"/>
      <c r="C68" s="1604"/>
      <c r="D68" s="1604"/>
      <c r="E68" s="932" t="s">
        <v>1195</v>
      </c>
      <c r="F68" s="929">
        <v>3000</v>
      </c>
      <c r="G68" s="1607"/>
      <c r="H68" s="1613"/>
      <c r="I68" s="1598"/>
      <c r="J68" s="1598"/>
      <c r="K68" s="1598"/>
      <c r="L68" s="1598"/>
      <c r="M68" s="1598"/>
      <c r="N68" s="1598"/>
      <c r="O68" s="1598"/>
      <c r="P68" s="1598"/>
      <c r="Q68" s="1598"/>
      <c r="R68" s="1598"/>
      <c r="S68" s="1610"/>
      <c r="T68" s="1598"/>
      <c r="U68" s="1595"/>
    </row>
    <row r="69" spans="1:21" ht="18.75">
      <c r="A69" s="1604"/>
      <c r="B69" s="1604"/>
      <c r="C69" s="1604"/>
      <c r="D69" s="1604"/>
      <c r="E69" s="933" t="s">
        <v>1137</v>
      </c>
      <c r="F69" s="923">
        <v>1000</v>
      </c>
      <c r="G69" s="1608"/>
      <c r="H69" s="1614"/>
      <c r="I69" s="1599"/>
      <c r="J69" s="1599"/>
      <c r="K69" s="1599"/>
      <c r="L69" s="1599"/>
      <c r="M69" s="1599"/>
      <c r="N69" s="1599"/>
      <c r="O69" s="1599"/>
      <c r="P69" s="1599"/>
      <c r="Q69" s="1599"/>
      <c r="R69" s="1599"/>
      <c r="S69" s="1611"/>
      <c r="T69" s="1599"/>
      <c r="U69" s="1596"/>
    </row>
    <row r="70" spans="1:21" ht="18.75">
      <c r="A70" s="1605"/>
      <c r="B70" s="1605"/>
      <c r="C70" s="1605"/>
      <c r="D70" s="1605"/>
      <c r="E70" s="934" t="s">
        <v>4</v>
      </c>
      <c r="F70" s="924">
        <v>21400</v>
      </c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</row>
    <row r="71" spans="1:21" ht="18.75">
      <c r="A71" s="1289" t="s">
        <v>1196</v>
      </c>
      <c r="B71" s="1289" t="s">
        <v>1197</v>
      </c>
      <c r="C71" s="1289"/>
      <c r="D71" s="1289"/>
      <c r="E71" s="382" t="s">
        <v>1198</v>
      </c>
      <c r="F71" s="203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83" t="s">
        <v>1150</v>
      </c>
    </row>
    <row r="72" spans="1:21" ht="18.75">
      <c r="A72" s="1291"/>
      <c r="B72" s="1291"/>
      <c r="C72" s="1291"/>
      <c r="D72" s="1291"/>
      <c r="E72" s="366" t="s">
        <v>4</v>
      </c>
      <c r="F72" s="280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12.5">
      <c r="A73" s="1289" t="s">
        <v>1199</v>
      </c>
      <c r="B73" s="1289" t="s">
        <v>1200</v>
      </c>
      <c r="C73" s="1384"/>
      <c r="D73" s="1289" t="s">
        <v>1201</v>
      </c>
      <c r="E73" s="197" t="s">
        <v>1429</v>
      </c>
      <c r="F73" s="203">
        <v>2400</v>
      </c>
      <c r="G73" s="384" t="s">
        <v>445</v>
      </c>
      <c r="H73" s="383" t="s">
        <v>1202</v>
      </c>
      <c r="I73" s="68"/>
      <c r="J73" s="68"/>
      <c r="K73" s="384">
        <v>600</v>
      </c>
      <c r="L73" s="68"/>
      <c r="M73" s="68"/>
      <c r="N73" s="384">
        <v>600</v>
      </c>
      <c r="O73" s="68"/>
      <c r="P73" s="68"/>
      <c r="Q73" s="384">
        <v>600</v>
      </c>
      <c r="R73" s="68"/>
      <c r="S73" s="68"/>
      <c r="T73" s="384">
        <v>600</v>
      </c>
      <c r="U73" s="385" t="s">
        <v>1122</v>
      </c>
    </row>
    <row r="74" spans="1:21" ht="18.75">
      <c r="A74" s="1291"/>
      <c r="B74" s="1291"/>
      <c r="C74" s="1384"/>
      <c r="D74" s="1291"/>
      <c r="E74" s="287" t="s">
        <v>4</v>
      </c>
      <c r="F74" s="280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56.25">
      <c r="A75" s="1292" t="s">
        <v>1203</v>
      </c>
      <c r="B75" s="1292" t="s">
        <v>1204</v>
      </c>
      <c r="C75" s="1384"/>
      <c r="D75" s="1292" t="s">
        <v>1205</v>
      </c>
      <c r="E75" s="368" t="s">
        <v>1206</v>
      </c>
      <c r="F75" s="338">
        <v>1600</v>
      </c>
      <c r="G75" s="1571" t="s">
        <v>1207</v>
      </c>
      <c r="H75" s="1593">
        <v>22616</v>
      </c>
      <c r="I75" s="1266"/>
      <c r="J75" s="1266"/>
      <c r="K75" s="1266"/>
      <c r="L75" s="1266"/>
      <c r="M75" s="1266"/>
      <c r="N75" s="1266"/>
      <c r="O75" s="1266"/>
      <c r="P75" s="1266"/>
      <c r="Q75" s="1266"/>
      <c r="R75" s="1266"/>
      <c r="S75" s="1266"/>
      <c r="T75" s="1266"/>
      <c r="U75" s="1581" t="s">
        <v>1150</v>
      </c>
    </row>
    <row r="76" spans="1:21" ht="37.5">
      <c r="A76" s="1292"/>
      <c r="B76" s="1292"/>
      <c r="C76" s="1384"/>
      <c r="D76" s="1292"/>
      <c r="E76" s="369" t="s">
        <v>1208</v>
      </c>
      <c r="F76" s="340">
        <v>3200</v>
      </c>
      <c r="G76" s="1572"/>
      <c r="H76" s="1574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582"/>
    </row>
    <row r="77" spans="1:21" ht="18.75">
      <c r="A77" s="1292"/>
      <c r="B77" s="1292"/>
      <c r="C77" s="1384"/>
      <c r="D77" s="1292"/>
      <c r="E77" s="370" t="s">
        <v>1137</v>
      </c>
      <c r="F77" s="341">
        <v>1000</v>
      </c>
      <c r="G77" s="1572"/>
      <c r="H77" s="1574"/>
      <c r="I77" s="1267"/>
      <c r="J77" s="1267"/>
      <c r="K77" s="1267"/>
      <c r="L77" s="1267"/>
      <c r="M77" s="1267"/>
      <c r="N77" s="1267"/>
      <c r="O77" s="1267"/>
      <c r="P77" s="1267"/>
      <c r="Q77" s="1267"/>
      <c r="R77" s="1267"/>
      <c r="S77" s="1267"/>
      <c r="T77" s="1267"/>
      <c r="U77" s="1582"/>
    </row>
    <row r="78" spans="1:21" ht="18.75">
      <c r="A78" s="1289"/>
      <c r="B78" s="1289"/>
      <c r="C78" s="1275"/>
      <c r="D78" s="1289"/>
      <c r="E78" s="387" t="s">
        <v>4</v>
      </c>
      <c r="F78" s="367">
        <v>5800</v>
      </c>
      <c r="G78" s="1572"/>
      <c r="H78" s="1574"/>
      <c r="I78" s="1267"/>
      <c r="J78" s="1267"/>
      <c r="K78" s="1267"/>
      <c r="L78" s="1267"/>
      <c r="M78" s="1267"/>
      <c r="N78" s="1267"/>
      <c r="O78" s="1267"/>
      <c r="P78" s="1267"/>
      <c r="Q78" s="1267"/>
      <c r="R78" s="1267"/>
      <c r="S78" s="1267"/>
      <c r="T78" s="1267"/>
      <c r="U78" s="1582"/>
    </row>
    <row r="79" spans="1:21" s="406" customFormat="1" ht="56.25">
      <c r="A79" s="1292" t="s">
        <v>1209</v>
      </c>
      <c r="B79" s="1292" t="s">
        <v>1210</v>
      </c>
      <c r="C79" s="1384"/>
      <c r="D79" s="1292" t="s">
        <v>1211</v>
      </c>
      <c r="E79" s="368" t="s">
        <v>1212</v>
      </c>
      <c r="F79" s="338">
        <v>6400</v>
      </c>
      <c r="G79" s="1571" t="s">
        <v>1207</v>
      </c>
      <c r="H79" s="1573" t="s">
        <v>1202</v>
      </c>
      <c r="I79" s="1266"/>
      <c r="J79" s="1266"/>
      <c r="K79" s="1564">
        <v>7100</v>
      </c>
      <c r="L79" s="1266"/>
      <c r="M79" s="1266"/>
      <c r="N79" s="1564">
        <v>7100</v>
      </c>
      <c r="O79" s="1266"/>
      <c r="P79" s="1266"/>
      <c r="Q79" s="1564">
        <v>7100</v>
      </c>
      <c r="R79" s="1266"/>
      <c r="S79" s="1266"/>
      <c r="T79" s="1564">
        <v>7100</v>
      </c>
      <c r="U79" s="1581" t="s">
        <v>1150</v>
      </c>
    </row>
    <row r="80" spans="1:21" ht="37.5">
      <c r="A80" s="1292"/>
      <c r="B80" s="1292"/>
      <c r="C80" s="1384"/>
      <c r="D80" s="1292"/>
      <c r="E80" s="369" t="s">
        <v>1213</v>
      </c>
      <c r="F80" s="340">
        <v>12800</v>
      </c>
      <c r="G80" s="1572"/>
      <c r="H80" s="1574"/>
      <c r="I80" s="1267"/>
      <c r="J80" s="1267"/>
      <c r="K80" s="1579"/>
      <c r="L80" s="1267"/>
      <c r="M80" s="1267"/>
      <c r="N80" s="1579"/>
      <c r="O80" s="1267"/>
      <c r="P80" s="1267"/>
      <c r="Q80" s="1579"/>
      <c r="R80" s="1267"/>
      <c r="S80" s="1267"/>
      <c r="T80" s="1579"/>
      <c r="U80" s="1582"/>
    </row>
    <row r="81" spans="1:21" ht="56.25">
      <c r="A81" s="1292"/>
      <c r="B81" s="1292"/>
      <c r="C81" s="1384"/>
      <c r="D81" s="1292"/>
      <c r="E81" s="369" t="s">
        <v>1214</v>
      </c>
      <c r="F81" s="340">
        <v>7200</v>
      </c>
      <c r="G81" s="1572"/>
      <c r="H81" s="1574"/>
      <c r="I81" s="1267"/>
      <c r="J81" s="1267"/>
      <c r="K81" s="1579"/>
      <c r="L81" s="1267"/>
      <c r="M81" s="1267"/>
      <c r="N81" s="1579"/>
      <c r="O81" s="1267"/>
      <c r="P81" s="1267"/>
      <c r="Q81" s="1579"/>
      <c r="R81" s="1267"/>
      <c r="S81" s="1267"/>
      <c r="T81" s="1579"/>
      <c r="U81" s="1582"/>
    </row>
    <row r="82" spans="1:21" ht="18.75">
      <c r="A82" s="1292"/>
      <c r="B82" s="1292"/>
      <c r="C82" s="1384"/>
      <c r="D82" s="1292"/>
      <c r="E82" s="370" t="s">
        <v>1137</v>
      </c>
      <c r="F82" s="341">
        <v>2000</v>
      </c>
      <c r="G82" s="1572"/>
      <c r="H82" s="1574"/>
      <c r="I82" s="1267"/>
      <c r="J82" s="1267"/>
      <c r="K82" s="1579"/>
      <c r="L82" s="1267"/>
      <c r="M82" s="1267"/>
      <c r="N82" s="1579"/>
      <c r="O82" s="1267"/>
      <c r="P82" s="1267"/>
      <c r="Q82" s="1579"/>
      <c r="R82" s="1267"/>
      <c r="S82" s="1267"/>
      <c r="T82" s="1579"/>
      <c r="U82" s="1582"/>
    </row>
    <row r="83" spans="1:21" ht="18.75">
      <c r="A83" s="1292"/>
      <c r="B83" s="1292"/>
      <c r="C83" s="1384"/>
      <c r="D83" s="1292"/>
      <c r="E83" s="371" t="s">
        <v>4</v>
      </c>
      <c r="F83" s="280">
        <v>28400</v>
      </c>
      <c r="G83" s="1591"/>
      <c r="H83" s="1592"/>
      <c r="I83" s="1268"/>
      <c r="J83" s="1268"/>
      <c r="K83" s="1580"/>
      <c r="L83" s="1268"/>
      <c r="M83" s="1268"/>
      <c r="N83" s="1580"/>
      <c r="O83" s="1268"/>
      <c r="P83" s="1268"/>
      <c r="Q83" s="1580"/>
      <c r="R83" s="1268"/>
      <c r="S83" s="1268"/>
      <c r="T83" s="1580"/>
      <c r="U83" s="1583"/>
    </row>
    <row r="84" spans="1:21" ht="21.75">
      <c r="A84" s="1584" t="s">
        <v>1215</v>
      </c>
      <c r="B84" s="1585"/>
      <c r="C84" s="1585"/>
      <c r="D84" s="1585"/>
      <c r="E84" s="1585"/>
      <c r="F84" s="1585"/>
      <c r="G84" s="1585"/>
      <c r="H84" s="1585"/>
      <c r="I84" s="1585"/>
      <c r="J84" s="1585"/>
      <c r="K84" s="1585"/>
      <c r="L84" s="1585"/>
      <c r="M84" s="1585"/>
      <c r="N84" s="1585"/>
      <c r="O84" s="1585"/>
      <c r="P84" s="1585"/>
      <c r="Q84" s="1585"/>
      <c r="R84" s="1585"/>
      <c r="S84" s="1585"/>
      <c r="T84" s="1585"/>
      <c r="U84" s="1586"/>
    </row>
    <row r="85" spans="1:21" ht="56.25">
      <c r="A85" s="1550" t="s">
        <v>1216</v>
      </c>
      <c r="B85" s="1550" t="s">
        <v>1217</v>
      </c>
      <c r="C85" s="1551"/>
      <c r="D85" s="1558" t="s">
        <v>1218</v>
      </c>
      <c r="E85" s="1037" t="s">
        <v>1219</v>
      </c>
      <c r="F85" s="938">
        <v>3200</v>
      </c>
      <c r="G85" s="1552" t="s">
        <v>445</v>
      </c>
      <c r="H85" s="1576">
        <v>22616</v>
      </c>
      <c r="I85" s="1546"/>
      <c r="J85" s="1546"/>
      <c r="K85" s="1566">
        <v>23000</v>
      </c>
      <c r="L85" s="1546"/>
      <c r="M85" s="1546"/>
      <c r="N85" s="1546"/>
      <c r="O85" s="1546"/>
      <c r="P85" s="1546"/>
      <c r="Q85" s="1546"/>
      <c r="R85" s="1546"/>
      <c r="S85" s="1546"/>
      <c r="T85" s="1546"/>
      <c r="U85" s="1588" t="s">
        <v>1220</v>
      </c>
    </row>
    <row r="86" spans="1:21" ht="37.5">
      <c r="A86" s="1550"/>
      <c r="B86" s="1550"/>
      <c r="C86" s="1551"/>
      <c r="D86" s="1559"/>
      <c r="E86" s="1038" t="s">
        <v>1221</v>
      </c>
      <c r="F86" s="940">
        <v>6400</v>
      </c>
      <c r="G86" s="1587"/>
      <c r="H86" s="1577"/>
      <c r="I86" s="1575"/>
      <c r="J86" s="1575"/>
      <c r="K86" s="1578"/>
      <c r="L86" s="1575"/>
      <c r="M86" s="1575"/>
      <c r="N86" s="1575"/>
      <c r="O86" s="1575"/>
      <c r="P86" s="1575"/>
      <c r="Q86" s="1575"/>
      <c r="R86" s="1575"/>
      <c r="S86" s="1575"/>
      <c r="T86" s="1575"/>
      <c r="U86" s="1589"/>
    </row>
    <row r="87" spans="1:21" ht="56.25">
      <c r="A87" s="1550"/>
      <c r="B87" s="1550"/>
      <c r="C87" s="1551"/>
      <c r="D87" s="1559"/>
      <c r="E87" s="1038" t="s">
        <v>1222</v>
      </c>
      <c r="F87" s="940">
        <v>3600</v>
      </c>
      <c r="G87" s="1587"/>
      <c r="H87" s="1577"/>
      <c r="I87" s="1575"/>
      <c r="J87" s="1575"/>
      <c r="K87" s="1578"/>
      <c r="L87" s="1575"/>
      <c r="M87" s="1575"/>
      <c r="N87" s="1575"/>
      <c r="O87" s="1575"/>
      <c r="P87" s="1575"/>
      <c r="Q87" s="1575"/>
      <c r="R87" s="1575"/>
      <c r="S87" s="1575"/>
      <c r="T87" s="1575"/>
      <c r="U87" s="1589"/>
    </row>
    <row r="88" spans="1:21" ht="56.25">
      <c r="A88" s="1550"/>
      <c r="B88" s="1550"/>
      <c r="C88" s="1551"/>
      <c r="D88" s="1559"/>
      <c r="E88" s="1038" t="s">
        <v>1223</v>
      </c>
      <c r="F88" s="940">
        <v>4800</v>
      </c>
      <c r="G88" s="1587"/>
      <c r="H88" s="1577"/>
      <c r="I88" s="1575"/>
      <c r="J88" s="1575"/>
      <c r="K88" s="1578"/>
      <c r="L88" s="1575"/>
      <c r="M88" s="1575"/>
      <c r="N88" s="1575"/>
      <c r="O88" s="1575"/>
      <c r="P88" s="1575"/>
      <c r="Q88" s="1575"/>
      <c r="R88" s="1575"/>
      <c r="S88" s="1575"/>
      <c r="T88" s="1575"/>
      <c r="U88" s="1589"/>
    </row>
    <row r="89" spans="1:21" ht="18.75">
      <c r="A89" s="1550"/>
      <c r="B89" s="1550"/>
      <c r="C89" s="1551"/>
      <c r="D89" s="1559"/>
      <c r="E89" s="1038" t="s">
        <v>1224</v>
      </c>
      <c r="F89" s="940">
        <v>2000</v>
      </c>
      <c r="G89" s="1587"/>
      <c r="H89" s="1577"/>
      <c r="I89" s="1575"/>
      <c r="J89" s="1575"/>
      <c r="K89" s="1578"/>
      <c r="L89" s="1575"/>
      <c r="M89" s="1575"/>
      <c r="N89" s="1575"/>
      <c r="O89" s="1575"/>
      <c r="P89" s="1575"/>
      <c r="Q89" s="1575"/>
      <c r="R89" s="1575"/>
      <c r="S89" s="1575"/>
      <c r="T89" s="1575"/>
      <c r="U89" s="1589"/>
    </row>
    <row r="90" spans="1:21" ht="37.5">
      <c r="A90" s="1550"/>
      <c r="B90" s="1550"/>
      <c r="C90" s="1551"/>
      <c r="D90" s="1559"/>
      <c r="E90" s="1038" t="s">
        <v>1225</v>
      </c>
      <c r="F90" s="940">
        <v>1400</v>
      </c>
      <c r="G90" s="1587"/>
      <c r="H90" s="1577"/>
      <c r="I90" s="1575"/>
      <c r="J90" s="1575"/>
      <c r="K90" s="1578"/>
      <c r="L90" s="1575"/>
      <c r="M90" s="1575"/>
      <c r="N90" s="1575"/>
      <c r="O90" s="1575"/>
      <c r="P90" s="1575"/>
      <c r="Q90" s="1575"/>
      <c r="R90" s="1575"/>
      <c r="S90" s="1575"/>
      <c r="T90" s="1575"/>
      <c r="U90" s="1589"/>
    </row>
    <row r="91" spans="1:21" ht="18.75">
      <c r="A91" s="1550"/>
      <c r="B91" s="1550"/>
      <c r="C91" s="1551"/>
      <c r="D91" s="1559"/>
      <c r="E91" s="1038" t="s">
        <v>1137</v>
      </c>
      <c r="F91" s="940">
        <v>1600</v>
      </c>
      <c r="G91" s="1587"/>
      <c r="H91" s="1577"/>
      <c r="I91" s="1575"/>
      <c r="J91" s="1575"/>
      <c r="K91" s="1578"/>
      <c r="L91" s="1575"/>
      <c r="M91" s="1575"/>
      <c r="N91" s="1575"/>
      <c r="O91" s="1575"/>
      <c r="P91" s="1575"/>
      <c r="Q91" s="1575"/>
      <c r="R91" s="1575"/>
      <c r="S91" s="1575"/>
      <c r="T91" s="1575"/>
      <c r="U91" s="1590"/>
    </row>
    <row r="92" spans="1:21" ht="18.75">
      <c r="A92" s="1550"/>
      <c r="B92" s="1550"/>
      <c r="C92" s="1551"/>
      <c r="D92" s="1560"/>
      <c r="E92" s="1039" t="s">
        <v>4</v>
      </c>
      <c r="F92" s="946">
        <v>23000</v>
      </c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</row>
    <row r="93" spans="1:21" ht="56.25">
      <c r="A93" s="1289" t="s">
        <v>1226</v>
      </c>
      <c r="B93" s="1568" t="s">
        <v>1227</v>
      </c>
      <c r="C93" s="1275"/>
      <c r="D93" s="1289" t="s">
        <v>1228</v>
      </c>
      <c r="E93" s="373" t="s">
        <v>1229</v>
      </c>
      <c r="F93" s="338">
        <v>6400</v>
      </c>
      <c r="G93" s="1571" t="s">
        <v>445</v>
      </c>
      <c r="H93" s="1573" t="s">
        <v>1202</v>
      </c>
      <c r="I93" s="1266"/>
      <c r="J93" s="1266"/>
      <c r="K93" s="1564">
        <v>6600</v>
      </c>
      <c r="L93" s="1266"/>
      <c r="M93" s="1266"/>
      <c r="N93" s="1564">
        <v>6600</v>
      </c>
      <c r="O93" s="1266"/>
      <c r="P93" s="1266"/>
      <c r="Q93" s="1564">
        <v>6600</v>
      </c>
      <c r="R93" s="1266"/>
      <c r="S93" s="1266"/>
      <c r="T93" s="1564">
        <v>6600</v>
      </c>
      <c r="U93" s="1556" t="s">
        <v>1220</v>
      </c>
    </row>
    <row r="94" spans="1:21" ht="37.5">
      <c r="A94" s="1290"/>
      <c r="B94" s="1569"/>
      <c r="C94" s="1284"/>
      <c r="D94" s="1290"/>
      <c r="E94" s="374" t="s">
        <v>1213</v>
      </c>
      <c r="F94" s="340">
        <v>12800</v>
      </c>
      <c r="G94" s="1572"/>
      <c r="H94" s="1574"/>
      <c r="I94" s="1267"/>
      <c r="J94" s="1267"/>
      <c r="K94" s="1565"/>
      <c r="L94" s="1267"/>
      <c r="M94" s="1267"/>
      <c r="N94" s="1565"/>
      <c r="O94" s="1267"/>
      <c r="P94" s="1267"/>
      <c r="Q94" s="1565"/>
      <c r="R94" s="1267"/>
      <c r="S94" s="1267"/>
      <c r="T94" s="1565"/>
      <c r="U94" s="1557"/>
    </row>
    <row r="95" spans="1:21" ht="56.25">
      <c r="A95" s="1290"/>
      <c r="B95" s="1569"/>
      <c r="C95" s="1284"/>
      <c r="D95" s="1290"/>
      <c r="E95" s="374" t="s">
        <v>1230</v>
      </c>
      <c r="F95" s="340">
        <v>7200</v>
      </c>
      <c r="G95" s="1572"/>
      <c r="H95" s="1574"/>
      <c r="I95" s="1267"/>
      <c r="J95" s="1267"/>
      <c r="K95" s="1565"/>
      <c r="L95" s="1267"/>
      <c r="M95" s="1267"/>
      <c r="N95" s="1565"/>
      <c r="O95" s="1267"/>
      <c r="P95" s="1267"/>
      <c r="Q95" s="1565"/>
      <c r="R95" s="1267"/>
      <c r="S95" s="1267"/>
      <c r="T95" s="1565"/>
      <c r="U95" s="1557"/>
    </row>
    <row r="96" spans="1:21" ht="18.75">
      <c r="A96" s="1291"/>
      <c r="B96" s="1570"/>
      <c r="C96" s="1285"/>
      <c r="D96" s="1291"/>
      <c r="E96" s="371" t="s">
        <v>4</v>
      </c>
      <c r="F96" s="280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558" t="s">
        <v>1231</v>
      </c>
      <c r="B97" s="1558" t="s">
        <v>1232</v>
      </c>
      <c r="C97" s="1561"/>
      <c r="D97" s="1558" t="s">
        <v>1233</v>
      </c>
      <c r="E97" s="1037" t="s">
        <v>1234</v>
      </c>
      <c r="F97" s="938">
        <v>4000</v>
      </c>
      <c r="G97" s="1552" t="s">
        <v>77</v>
      </c>
      <c r="H97" s="1554" t="s">
        <v>1235</v>
      </c>
      <c r="I97" s="1546"/>
      <c r="J97" s="1546"/>
      <c r="K97" s="1546"/>
      <c r="L97" s="1546"/>
      <c r="M97" s="1546"/>
      <c r="N97" s="1546"/>
      <c r="O97" s="1546"/>
      <c r="P97" s="1566"/>
      <c r="Q97" s="1566">
        <v>1200</v>
      </c>
      <c r="R97" s="1566">
        <v>5000</v>
      </c>
      <c r="S97" s="1546"/>
      <c r="T97" s="1546"/>
      <c r="U97" s="1548" t="s">
        <v>1220</v>
      </c>
    </row>
    <row r="98" spans="1:21" ht="56.25">
      <c r="A98" s="1559"/>
      <c r="B98" s="1559"/>
      <c r="C98" s="1562"/>
      <c r="D98" s="1559"/>
      <c r="E98" s="951" t="s">
        <v>1458</v>
      </c>
      <c r="F98" s="944">
        <v>2400</v>
      </c>
      <c r="G98" s="1553"/>
      <c r="H98" s="1555"/>
      <c r="I98" s="1547"/>
      <c r="J98" s="1547"/>
      <c r="K98" s="1547"/>
      <c r="L98" s="1547"/>
      <c r="M98" s="1547"/>
      <c r="N98" s="1547"/>
      <c r="O98" s="1547"/>
      <c r="P98" s="1567"/>
      <c r="Q98" s="1567"/>
      <c r="R98" s="1567"/>
      <c r="S98" s="1547"/>
      <c r="T98" s="1547"/>
      <c r="U98" s="1549"/>
    </row>
    <row r="99" spans="1:21" ht="18.75">
      <c r="A99" s="1560"/>
      <c r="B99" s="1560"/>
      <c r="C99" s="1563"/>
      <c r="D99" s="1560"/>
      <c r="E99" s="945" t="s">
        <v>4</v>
      </c>
      <c r="F99" s="946">
        <v>6400</v>
      </c>
      <c r="G99" s="1040"/>
      <c r="H99" s="1040"/>
      <c r="I99" s="1040"/>
      <c r="J99" s="1040"/>
      <c r="K99" s="1040"/>
      <c r="L99" s="1040"/>
      <c r="M99" s="1040"/>
      <c r="N99" s="1040"/>
      <c r="O99" s="1040"/>
      <c r="P99" s="1040"/>
      <c r="Q99" s="1040"/>
      <c r="R99" s="1040"/>
      <c r="S99" s="1040"/>
      <c r="T99" s="1040"/>
      <c r="U99" s="1040"/>
    </row>
    <row r="100" spans="1:21" ht="56.25">
      <c r="A100" s="1550" t="s">
        <v>1236</v>
      </c>
      <c r="B100" s="1550" t="s">
        <v>1237</v>
      </c>
      <c r="C100" s="1551"/>
      <c r="D100" s="1551" t="s">
        <v>1238</v>
      </c>
      <c r="E100" s="1041" t="s">
        <v>1239</v>
      </c>
      <c r="F100" s="946">
        <v>11200</v>
      </c>
      <c r="G100" s="1552" t="s">
        <v>77</v>
      </c>
      <c r="H100" s="1554" t="s">
        <v>1240</v>
      </c>
      <c r="I100" s="1546"/>
      <c r="J100" s="1546"/>
      <c r="K100" s="1546"/>
      <c r="L100" s="1546"/>
      <c r="M100" s="1546"/>
      <c r="N100" s="1546"/>
      <c r="O100" s="1546"/>
      <c r="P100" s="1546"/>
      <c r="Q100" s="1546"/>
      <c r="R100" s="1546"/>
      <c r="S100" s="1546"/>
      <c r="T100" s="1546"/>
      <c r="U100" s="1548" t="s">
        <v>1220</v>
      </c>
    </row>
    <row r="101" spans="1:21" ht="18.75">
      <c r="A101" s="1550"/>
      <c r="B101" s="1550"/>
      <c r="C101" s="1551"/>
      <c r="D101" s="1551"/>
      <c r="E101" s="1042" t="s">
        <v>4</v>
      </c>
      <c r="F101" s="938">
        <v>11200</v>
      </c>
      <c r="G101" s="1553"/>
      <c r="H101" s="1555"/>
      <c r="I101" s="1547"/>
      <c r="J101" s="1547"/>
      <c r="K101" s="1547"/>
      <c r="L101" s="1547"/>
      <c r="M101" s="1547"/>
      <c r="N101" s="1547"/>
      <c r="O101" s="1547"/>
      <c r="P101" s="1547"/>
      <c r="Q101" s="1547"/>
      <c r="R101" s="1547"/>
      <c r="S101" s="1547"/>
      <c r="T101" s="1547"/>
      <c r="U101" s="1549"/>
    </row>
    <row r="102" spans="1:21" ht="56.25">
      <c r="A102" s="240" t="s">
        <v>1241</v>
      </c>
      <c r="B102" s="240" t="s">
        <v>1242</v>
      </c>
      <c r="C102" s="386"/>
      <c r="D102" s="240" t="s">
        <v>1243</v>
      </c>
      <c r="E102" s="382" t="s">
        <v>1244</v>
      </c>
      <c r="F102" s="203"/>
      <c r="G102" s="388" t="s">
        <v>1245</v>
      </c>
      <c r="H102" s="389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90" t="s">
        <v>1172</v>
      </c>
    </row>
    <row r="103" spans="1:21" ht="56.25">
      <c r="A103" s="240" t="s">
        <v>1246</v>
      </c>
      <c r="B103" s="240" t="s">
        <v>1247</v>
      </c>
      <c r="C103" s="303"/>
      <c r="D103" s="240" t="s">
        <v>1248</v>
      </c>
      <c r="E103" s="382" t="s">
        <v>1244</v>
      </c>
      <c r="F103" s="341"/>
      <c r="G103" s="388" t="s">
        <v>1245</v>
      </c>
      <c r="H103" s="391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0" t="s">
        <v>1172</v>
      </c>
    </row>
    <row r="104" spans="1:21" ht="18.75">
      <c r="A104" s="392"/>
      <c r="B104" s="393"/>
      <c r="C104" s="393"/>
      <c r="D104" s="392"/>
      <c r="E104" s="290" t="s">
        <v>139</v>
      </c>
      <c r="F104" s="280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5" ht="21.75">
      <c r="A105" s="394" t="s">
        <v>1441</v>
      </c>
      <c r="B105" s="394"/>
      <c r="C105" s="394"/>
      <c r="D105" s="394"/>
      <c r="E105" s="346"/>
    </row>
    <row r="106" spans="1:21" ht="18.75">
      <c r="A106" s="1540" t="s">
        <v>1431</v>
      </c>
      <c r="B106" s="1541"/>
      <c r="C106" s="1541"/>
      <c r="D106" s="1541"/>
      <c r="E106" s="1541"/>
      <c r="F106" s="1541"/>
      <c r="G106" s="1541"/>
      <c r="H106" s="1541"/>
      <c r="I106" s="1541"/>
      <c r="J106" s="1541"/>
      <c r="K106" s="1541"/>
      <c r="L106" s="1541"/>
      <c r="M106" s="1541"/>
      <c r="N106" s="1541"/>
      <c r="O106" s="1541"/>
      <c r="P106" s="1541"/>
      <c r="Q106" s="1541"/>
      <c r="R106" s="1541"/>
      <c r="S106" s="1541"/>
      <c r="T106" s="1541"/>
      <c r="U106" s="1542"/>
    </row>
    <row r="107" spans="1:21" s="29" customFormat="1" ht="150">
      <c r="A107" s="198" t="s">
        <v>1435</v>
      </c>
      <c r="B107" s="199" t="s">
        <v>1438</v>
      </c>
      <c r="C107" s="200" t="s">
        <v>1437</v>
      </c>
      <c r="D107" s="201" t="s">
        <v>1436</v>
      </c>
      <c r="E107" s="202" t="s">
        <v>1439</v>
      </c>
      <c r="F107" s="203">
        <v>32400</v>
      </c>
      <c r="G107" s="204" t="s">
        <v>1249</v>
      </c>
      <c r="H107" s="205" t="s">
        <v>1250</v>
      </c>
      <c r="I107" s="206">
        <v>5400</v>
      </c>
      <c r="J107" s="207"/>
      <c r="K107" s="206">
        <v>5400</v>
      </c>
      <c r="L107" s="207"/>
      <c r="M107" s="206">
        <v>5400</v>
      </c>
      <c r="N107" s="207"/>
      <c r="O107" s="206">
        <v>5400</v>
      </c>
      <c r="P107" s="207"/>
      <c r="Q107" s="206">
        <v>54000</v>
      </c>
      <c r="R107" s="206">
        <v>5400</v>
      </c>
      <c r="S107" s="207"/>
      <c r="T107" s="207"/>
      <c r="U107" s="205" t="s">
        <v>1251</v>
      </c>
    </row>
    <row r="108" spans="1:21" s="29" customFormat="1" ht="75">
      <c r="A108" s="243" t="s">
        <v>1434</v>
      </c>
      <c r="B108" s="243" t="s">
        <v>1252</v>
      </c>
      <c r="C108" s="200" t="s">
        <v>1253</v>
      </c>
      <c r="D108" s="201" t="s">
        <v>1254</v>
      </c>
      <c r="E108" s="210" t="s">
        <v>1430</v>
      </c>
      <c r="F108" s="203">
        <v>10000</v>
      </c>
      <c r="G108" s="204" t="s">
        <v>1249</v>
      </c>
      <c r="H108" s="205" t="s">
        <v>1250</v>
      </c>
      <c r="I108" s="206"/>
      <c r="J108" s="206"/>
      <c r="K108" s="206">
        <v>2000</v>
      </c>
      <c r="L108" s="206"/>
      <c r="M108" s="206">
        <v>2000</v>
      </c>
      <c r="N108" s="206"/>
      <c r="O108" s="206">
        <v>2000</v>
      </c>
      <c r="P108" s="206"/>
      <c r="Q108" s="206">
        <v>2000</v>
      </c>
      <c r="R108" s="206">
        <v>2000</v>
      </c>
      <c r="S108" s="206"/>
      <c r="T108" s="206"/>
      <c r="U108" s="208"/>
    </row>
    <row r="109" spans="1:21" s="29" customFormat="1" ht="112.5">
      <c r="A109" s="243" t="s">
        <v>1255</v>
      </c>
      <c r="B109" s="243" t="s">
        <v>1256</v>
      </c>
      <c r="C109" s="209" t="s">
        <v>1257</v>
      </c>
      <c r="D109" s="243" t="s">
        <v>1258</v>
      </c>
      <c r="E109" s="209" t="s">
        <v>1442</v>
      </c>
      <c r="F109" s="203">
        <v>315000</v>
      </c>
      <c r="G109" s="204" t="s">
        <v>1249</v>
      </c>
      <c r="H109" s="205" t="s">
        <v>1250</v>
      </c>
      <c r="I109" s="206"/>
      <c r="J109" s="206"/>
      <c r="K109" s="206">
        <v>280000</v>
      </c>
      <c r="L109" s="206"/>
      <c r="M109" s="206">
        <v>35000</v>
      </c>
      <c r="N109" s="206"/>
      <c r="O109" s="206"/>
      <c r="P109" s="206"/>
      <c r="Q109" s="206"/>
      <c r="R109" s="206"/>
      <c r="S109" s="206"/>
      <c r="T109" s="206"/>
      <c r="U109" s="208"/>
    </row>
    <row r="110" spans="1:21" s="29" customFormat="1" ht="187.5">
      <c r="A110" s="198" t="s">
        <v>1259</v>
      </c>
      <c r="B110" s="243" t="s">
        <v>1260</v>
      </c>
      <c r="C110" s="200" t="s">
        <v>1261</v>
      </c>
      <c r="D110" s="243" t="s">
        <v>1262</v>
      </c>
      <c r="E110" s="210" t="s">
        <v>1263</v>
      </c>
      <c r="F110" s="203">
        <v>76000</v>
      </c>
      <c r="G110" s="204" t="s">
        <v>1249</v>
      </c>
      <c r="H110" s="395">
        <v>22951</v>
      </c>
      <c r="I110" s="206"/>
      <c r="J110" s="206">
        <v>76000</v>
      </c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8"/>
    </row>
    <row r="111" spans="1:21" s="29" customFormat="1" ht="300">
      <c r="A111" s="198" t="s">
        <v>1264</v>
      </c>
      <c r="B111" s="243" t="s">
        <v>1265</v>
      </c>
      <c r="C111" s="200" t="s">
        <v>1266</v>
      </c>
      <c r="D111" s="243" t="s">
        <v>1267</v>
      </c>
      <c r="E111" s="210" t="s">
        <v>1268</v>
      </c>
      <c r="F111" s="203">
        <v>200000</v>
      </c>
      <c r="G111" s="204" t="s">
        <v>1249</v>
      </c>
      <c r="H111" s="395">
        <v>22706</v>
      </c>
      <c r="I111" s="206"/>
      <c r="J111" s="206"/>
      <c r="K111" s="206"/>
      <c r="L111" s="206"/>
      <c r="M111" s="206"/>
      <c r="N111" s="206">
        <v>200000</v>
      </c>
      <c r="O111" s="206"/>
      <c r="P111" s="206"/>
      <c r="Q111" s="206"/>
      <c r="R111" s="206"/>
      <c r="S111" s="206"/>
      <c r="T111" s="206"/>
      <c r="U111" s="208"/>
    </row>
    <row r="112" spans="1:21" s="29" customFormat="1" ht="150">
      <c r="A112" s="199" t="s">
        <v>1269</v>
      </c>
      <c r="B112" s="199" t="s">
        <v>1270</v>
      </c>
      <c r="C112" s="200" t="s">
        <v>1271</v>
      </c>
      <c r="D112" s="198" t="s">
        <v>1272</v>
      </c>
      <c r="E112" s="210" t="s">
        <v>1443</v>
      </c>
      <c r="F112" s="203">
        <v>49920</v>
      </c>
      <c r="G112" s="204"/>
      <c r="H112" s="205" t="s">
        <v>1273</v>
      </c>
      <c r="I112" s="206"/>
      <c r="J112" s="206"/>
      <c r="K112" s="206"/>
      <c r="L112" s="206">
        <v>24960</v>
      </c>
      <c r="M112" s="206"/>
      <c r="N112" s="206"/>
      <c r="O112" s="206">
        <v>24960</v>
      </c>
      <c r="P112" s="206"/>
      <c r="Q112" s="206"/>
      <c r="R112" s="206"/>
      <c r="S112" s="206"/>
      <c r="T112" s="206"/>
      <c r="U112" s="208"/>
    </row>
    <row r="113" spans="1:21" s="29" customFormat="1" ht="55.5">
      <c r="A113" s="243" t="s">
        <v>1274</v>
      </c>
      <c r="B113" s="243" t="s">
        <v>1275</v>
      </c>
      <c r="C113" s="209" t="s">
        <v>1276</v>
      </c>
      <c r="D113" s="198" t="s">
        <v>1277</v>
      </c>
      <c r="E113" s="210" t="s">
        <v>1278</v>
      </c>
      <c r="F113" s="203">
        <v>180000</v>
      </c>
      <c r="G113" s="204" t="s">
        <v>1249</v>
      </c>
      <c r="H113" s="395">
        <v>22586</v>
      </c>
      <c r="I113" s="206"/>
      <c r="J113" s="206">
        <v>180000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8"/>
    </row>
    <row r="114" spans="1:21" s="29" customFormat="1" ht="93.75">
      <c r="A114" s="102" t="s">
        <v>1279</v>
      </c>
      <c r="B114" s="199" t="s">
        <v>1280</v>
      </c>
      <c r="C114" s="200" t="s">
        <v>1281</v>
      </c>
      <c r="D114" s="211" t="s">
        <v>1282</v>
      </c>
      <c r="E114" s="210" t="s">
        <v>1283</v>
      </c>
      <c r="F114" s="203">
        <v>236400</v>
      </c>
      <c r="G114" s="204" t="s">
        <v>1249</v>
      </c>
      <c r="H114" s="205" t="s">
        <v>1250</v>
      </c>
      <c r="I114" s="206">
        <v>19700</v>
      </c>
      <c r="J114" s="206">
        <v>19700</v>
      </c>
      <c r="K114" s="206">
        <v>19700</v>
      </c>
      <c r="L114" s="206">
        <v>19700</v>
      </c>
      <c r="M114" s="206">
        <v>19700</v>
      </c>
      <c r="N114" s="206">
        <v>19700</v>
      </c>
      <c r="O114" s="206">
        <v>19700</v>
      </c>
      <c r="P114" s="206">
        <v>19700</v>
      </c>
      <c r="Q114" s="206">
        <v>19700</v>
      </c>
      <c r="R114" s="206">
        <v>19700</v>
      </c>
      <c r="S114" s="206">
        <v>19700</v>
      </c>
      <c r="T114" s="206">
        <v>19700</v>
      </c>
      <c r="U114" s="205"/>
    </row>
    <row r="115" spans="1:21" s="29" customFormat="1" ht="65.25">
      <c r="A115" s="212" t="s">
        <v>1284</v>
      </c>
      <c r="B115" s="199" t="s">
        <v>1285</v>
      </c>
      <c r="C115" s="200" t="s">
        <v>1286</v>
      </c>
      <c r="D115" s="213" t="s">
        <v>1287</v>
      </c>
      <c r="E115" s="214" t="s">
        <v>1444</v>
      </c>
      <c r="F115" s="203">
        <v>30000</v>
      </c>
      <c r="G115" s="204"/>
      <c r="H115" s="205" t="s">
        <v>1288</v>
      </c>
      <c r="I115" s="206"/>
      <c r="J115" s="206"/>
      <c r="K115" s="206"/>
      <c r="L115" s="206"/>
      <c r="M115" s="206"/>
      <c r="N115" s="206">
        <v>30000</v>
      </c>
      <c r="O115" s="206"/>
      <c r="P115" s="206"/>
      <c r="Q115" s="206"/>
      <c r="R115" s="206"/>
      <c r="S115" s="206"/>
      <c r="T115" s="206"/>
      <c r="U115" s="205"/>
    </row>
    <row r="116" spans="1:21" s="29" customFormat="1" ht="75">
      <c r="A116" s="243" t="s">
        <v>1289</v>
      </c>
      <c r="B116" s="243" t="s">
        <v>1290</v>
      </c>
      <c r="C116" s="243" t="s">
        <v>1291</v>
      </c>
      <c r="D116" s="243" t="s">
        <v>1292</v>
      </c>
      <c r="E116" s="353" t="s">
        <v>1293</v>
      </c>
      <c r="F116" s="321">
        <v>52280</v>
      </c>
      <c r="G116" s="281" t="s">
        <v>1249</v>
      </c>
      <c r="H116" s="205" t="s">
        <v>1250</v>
      </c>
      <c r="I116" s="396">
        <v>4000</v>
      </c>
      <c r="J116" s="396">
        <v>4000</v>
      </c>
      <c r="K116" s="396">
        <v>4000</v>
      </c>
      <c r="L116" s="396">
        <v>4000</v>
      </c>
      <c r="M116" s="396">
        <v>4000</v>
      </c>
      <c r="N116" s="396">
        <v>4000</v>
      </c>
      <c r="O116" s="396">
        <v>4000</v>
      </c>
      <c r="P116" s="396">
        <v>4000</v>
      </c>
      <c r="Q116" s="396">
        <v>4000</v>
      </c>
      <c r="R116" s="396">
        <v>4000</v>
      </c>
      <c r="S116" s="396">
        <v>6000</v>
      </c>
      <c r="T116" s="396">
        <v>6280</v>
      </c>
      <c r="U116" s="281"/>
    </row>
    <row r="117" spans="1:21" s="29" customFormat="1" ht="18.75">
      <c r="A117" s="1540" t="s">
        <v>1432</v>
      </c>
      <c r="B117" s="1541"/>
      <c r="C117" s="1541"/>
      <c r="D117" s="1541"/>
      <c r="E117" s="1541"/>
      <c r="F117" s="1541"/>
      <c r="G117" s="1541"/>
      <c r="H117" s="1541"/>
      <c r="I117" s="1541"/>
      <c r="J117" s="1541"/>
      <c r="K117" s="1541"/>
      <c r="L117" s="1541"/>
      <c r="M117" s="1541"/>
      <c r="N117" s="1541"/>
      <c r="O117" s="1541"/>
      <c r="P117" s="1541"/>
      <c r="Q117" s="1541"/>
      <c r="R117" s="1541"/>
      <c r="S117" s="1541"/>
      <c r="T117" s="1541"/>
      <c r="U117" s="1542"/>
    </row>
    <row r="118" spans="1:21" s="29" customFormat="1" ht="271.5" customHeight="1">
      <c r="A118" s="198" t="s">
        <v>1294</v>
      </c>
      <c r="B118" s="243" t="s">
        <v>1265</v>
      </c>
      <c r="C118" s="200" t="s">
        <v>1295</v>
      </c>
      <c r="D118" s="243" t="s">
        <v>1267</v>
      </c>
      <c r="E118" s="210" t="s">
        <v>1296</v>
      </c>
      <c r="F118" s="203">
        <v>200000</v>
      </c>
      <c r="G118" s="204" t="s">
        <v>1249</v>
      </c>
      <c r="H118" s="395">
        <v>22616</v>
      </c>
      <c r="I118" s="206"/>
      <c r="J118" s="206"/>
      <c r="K118" s="206">
        <v>200000</v>
      </c>
      <c r="L118" s="206"/>
      <c r="M118" s="206"/>
      <c r="N118" s="206"/>
      <c r="O118" s="206"/>
      <c r="P118" s="206"/>
      <c r="Q118" s="206"/>
      <c r="R118" s="206"/>
      <c r="S118" s="206"/>
      <c r="T118" s="206"/>
      <c r="U118" s="208"/>
    </row>
    <row r="119" spans="1:21" s="29" customFormat="1" ht="93.75">
      <c r="A119" s="243" t="s">
        <v>1297</v>
      </c>
      <c r="B119" s="243" t="s">
        <v>1298</v>
      </c>
      <c r="C119" s="243" t="s">
        <v>1299</v>
      </c>
      <c r="D119" s="243" t="s">
        <v>1300</v>
      </c>
      <c r="E119" s="320" t="s">
        <v>1301</v>
      </c>
      <c r="F119" s="321">
        <v>6000</v>
      </c>
      <c r="G119" s="281" t="s">
        <v>1249</v>
      </c>
      <c r="H119" s="205" t="s">
        <v>1250</v>
      </c>
      <c r="I119" s="396">
        <v>500</v>
      </c>
      <c r="J119" s="396">
        <v>500</v>
      </c>
      <c r="K119" s="396">
        <v>500</v>
      </c>
      <c r="L119" s="396">
        <v>500</v>
      </c>
      <c r="M119" s="396">
        <v>500</v>
      </c>
      <c r="N119" s="396">
        <v>500</v>
      </c>
      <c r="O119" s="396">
        <v>500</v>
      </c>
      <c r="P119" s="396">
        <v>500</v>
      </c>
      <c r="Q119" s="396">
        <v>500</v>
      </c>
      <c r="R119" s="396">
        <v>500</v>
      </c>
      <c r="S119" s="396">
        <v>500</v>
      </c>
      <c r="T119" s="396">
        <v>500</v>
      </c>
      <c r="U119" s="281"/>
    </row>
    <row r="120" spans="1:21" s="29" customFormat="1" ht="18.75">
      <c r="A120" s="1543" t="s">
        <v>1433</v>
      </c>
      <c r="B120" s="1544"/>
      <c r="C120" s="1544"/>
      <c r="D120" s="1544"/>
      <c r="E120" s="1544"/>
      <c r="F120" s="1544"/>
      <c r="G120" s="1544"/>
      <c r="H120" s="1544"/>
      <c r="I120" s="1544"/>
      <c r="J120" s="1544"/>
      <c r="K120" s="1544"/>
      <c r="L120" s="1544"/>
      <c r="M120" s="1544"/>
      <c r="N120" s="1544"/>
      <c r="O120" s="1544"/>
      <c r="P120" s="1544"/>
      <c r="Q120" s="1544"/>
      <c r="R120" s="1544"/>
      <c r="S120" s="1544"/>
      <c r="T120" s="1545"/>
      <c r="U120" s="284"/>
    </row>
    <row r="121" spans="1:21" s="29" customFormat="1" ht="93.75">
      <c r="A121" s="243" t="s">
        <v>1302</v>
      </c>
      <c r="B121" s="243" t="s">
        <v>1303</v>
      </c>
      <c r="C121" s="243" t="s">
        <v>1304</v>
      </c>
      <c r="D121" s="243" t="s">
        <v>1305</v>
      </c>
      <c r="E121" s="320" t="s">
        <v>1306</v>
      </c>
      <c r="F121" s="321">
        <v>6000</v>
      </c>
      <c r="G121" s="284" t="s">
        <v>77</v>
      </c>
      <c r="H121" s="397">
        <v>22798</v>
      </c>
      <c r="I121" s="283"/>
      <c r="J121" s="283"/>
      <c r="K121" s="283"/>
      <c r="L121" s="283"/>
      <c r="M121" s="283"/>
      <c r="N121" s="283"/>
      <c r="O121" s="283"/>
      <c r="P121" s="283"/>
      <c r="Q121" s="398">
        <v>6000</v>
      </c>
      <c r="R121" s="283"/>
      <c r="S121" s="283"/>
      <c r="T121" s="283"/>
      <c r="U121" s="284"/>
    </row>
    <row r="122" spans="1:21" s="29" customFormat="1" ht="42">
      <c r="A122" s="243" t="s">
        <v>1307</v>
      </c>
      <c r="B122" s="243" t="s">
        <v>1308</v>
      </c>
      <c r="C122" s="243" t="s">
        <v>1309</v>
      </c>
      <c r="D122" s="243"/>
      <c r="E122" s="353" t="s">
        <v>1310</v>
      </c>
      <c r="F122" s="321">
        <v>6000</v>
      </c>
      <c r="G122" s="281" t="s">
        <v>77</v>
      </c>
      <c r="H122" s="399">
        <v>22767</v>
      </c>
      <c r="I122" s="282"/>
      <c r="J122" s="282"/>
      <c r="K122" s="282"/>
      <c r="L122" s="282"/>
      <c r="M122" s="282"/>
      <c r="N122" s="282"/>
      <c r="O122" s="282"/>
      <c r="P122" s="396">
        <v>6000</v>
      </c>
      <c r="Q122" s="396"/>
      <c r="R122" s="282"/>
      <c r="S122" s="282"/>
      <c r="T122" s="282"/>
      <c r="U122" s="281"/>
    </row>
    <row r="123" spans="5:21" s="29" customFormat="1" ht="37.5">
      <c r="E123" s="400" t="s">
        <v>1065</v>
      </c>
      <c r="F123" s="215">
        <f>F107+F108+F109+F110+F111+F112+F113+F114+F115+F116+F118+F119+F121+F122</f>
        <v>1400000</v>
      </c>
      <c r="G123" s="357"/>
      <c r="H123" s="357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58"/>
    </row>
    <row r="125" spans="1:8" ht="21.75">
      <c r="A125" s="401" t="s">
        <v>140</v>
      </c>
      <c r="B125" s="402" t="s">
        <v>1311</v>
      </c>
      <c r="C125" s="402"/>
      <c r="D125" s="402"/>
      <c r="E125" s="216" t="s">
        <v>1312</v>
      </c>
      <c r="F125" s="403"/>
      <c r="G125" s="404"/>
      <c r="H125" s="404"/>
    </row>
    <row r="126" spans="1:8" ht="18.75">
      <c r="A126" s="217" t="s">
        <v>13</v>
      </c>
      <c r="B126" s="218">
        <v>120000</v>
      </c>
      <c r="C126" s="219"/>
      <c r="D126" s="219"/>
      <c r="E126" s="222" t="s">
        <v>1313</v>
      </c>
      <c r="F126" s="220">
        <f>F10+F12+F19+F24+F33</f>
        <v>156640</v>
      </c>
      <c r="G126" s="405"/>
      <c r="H126" s="405"/>
    </row>
    <row r="127" spans="1:8" ht="18.75">
      <c r="A127" s="217" t="s">
        <v>1314</v>
      </c>
      <c r="B127" s="218">
        <v>150000</v>
      </c>
      <c r="C127" s="219"/>
      <c r="D127" s="219"/>
      <c r="E127" s="222" t="s">
        <v>1315</v>
      </c>
      <c r="F127" s="220">
        <f>F50+F59+F64+F70+F74+F78+F83</f>
        <v>206000</v>
      </c>
      <c r="G127" s="405"/>
      <c r="H127" s="405"/>
    </row>
    <row r="128" spans="1:8" ht="18.75">
      <c r="A128" s="217" t="s">
        <v>454</v>
      </c>
      <c r="B128" s="220">
        <v>159640</v>
      </c>
      <c r="C128" s="219"/>
      <c r="D128" s="219"/>
      <c r="E128" s="222" t="s">
        <v>1316</v>
      </c>
      <c r="F128" s="220">
        <f>F92+F96+F99+F101</f>
        <v>67000</v>
      </c>
      <c r="G128" s="405"/>
      <c r="H128" s="405"/>
    </row>
    <row r="129" spans="1:8" ht="18.75">
      <c r="A129" s="221" t="s">
        <v>4</v>
      </c>
      <c r="B129" s="218">
        <f>SUM(B126:B128)</f>
        <v>429640</v>
      </c>
      <c r="C129" s="219"/>
      <c r="D129" s="219"/>
      <c r="E129" s="222"/>
      <c r="F129" s="223">
        <f>SUM(F126:F128)</f>
        <v>429640</v>
      </c>
      <c r="G129" s="405"/>
      <c r="H129" s="405"/>
    </row>
    <row r="130" spans="1:8" ht="18.75">
      <c r="A130" s="224" t="s">
        <v>12</v>
      </c>
      <c r="B130" s="225">
        <f>F107+F108+F109+F110+F111+F112+F113+F114+F115+F116+F118+F119</f>
        <v>1388000</v>
      </c>
      <c r="C130" s="219"/>
      <c r="D130" s="219"/>
      <c r="E130" s="219" t="s">
        <v>1317</v>
      </c>
      <c r="F130" s="226">
        <v>1400000</v>
      </c>
      <c r="G130" s="405"/>
      <c r="H130" s="405"/>
    </row>
    <row r="131" spans="1:6" ht="18.75">
      <c r="A131" s="227" t="s">
        <v>454</v>
      </c>
      <c r="B131" s="228">
        <f>F121+F122</f>
        <v>12000</v>
      </c>
      <c r="C131" s="29"/>
      <c r="D131" s="29"/>
      <c r="E131" s="29"/>
      <c r="F131" s="29"/>
    </row>
    <row r="132" spans="1:6" ht="18.75">
      <c r="A132" s="227"/>
      <c r="B132" s="228">
        <f>SUM(B130:B131)</f>
        <v>1400000</v>
      </c>
      <c r="C132" s="29"/>
      <c r="D132" s="29"/>
      <c r="E132" s="29"/>
      <c r="F132" s="29"/>
    </row>
    <row r="133" spans="1:6" ht="18.75">
      <c r="A133" s="29"/>
      <c r="B133" s="29"/>
      <c r="C133" s="29"/>
      <c r="D133" s="29"/>
      <c r="E133" s="29"/>
      <c r="F133" s="29"/>
    </row>
    <row r="134" spans="1:6" ht="18.75">
      <c r="A134" s="29"/>
      <c r="B134" s="29"/>
      <c r="C134" s="29"/>
      <c r="D134" s="29"/>
      <c r="E134" s="29"/>
      <c r="F134" s="29"/>
    </row>
    <row r="135" spans="1:6" ht="18.75">
      <c r="A135" s="29"/>
      <c r="B135" s="29"/>
      <c r="C135" s="29"/>
      <c r="D135" s="29"/>
      <c r="E135" s="29"/>
      <c r="F135" s="29"/>
    </row>
  </sheetData>
  <sheetProtection/>
  <mergeCells count="326"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P5:P6"/>
    <mergeCell ref="Q5:Q6"/>
    <mergeCell ref="R5:R6"/>
    <mergeCell ref="S5:S6"/>
    <mergeCell ref="T5:T6"/>
    <mergeCell ref="A1:U1"/>
    <mergeCell ref="A2:D2"/>
    <mergeCell ref="A3:D3"/>
    <mergeCell ref="A4:A6"/>
    <mergeCell ref="B4:B6"/>
    <mergeCell ref="C4:C6"/>
    <mergeCell ref="I8:I9"/>
    <mergeCell ref="J8:J9"/>
    <mergeCell ref="D4:D6"/>
    <mergeCell ref="E4:G4"/>
    <mergeCell ref="H4:H6"/>
    <mergeCell ref="I4:T4"/>
    <mergeCell ref="K8:K9"/>
    <mergeCell ref="R8:R9"/>
    <mergeCell ref="S8:S9"/>
    <mergeCell ref="T8:T9"/>
    <mergeCell ref="A11:A12"/>
    <mergeCell ref="B11:B12"/>
    <mergeCell ref="C11:C12"/>
    <mergeCell ref="C8:C10"/>
    <mergeCell ref="D8:D10"/>
    <mergeCell ref="G8:G9"/>
    <mergeCell ref="D11:D12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S20:S23"/>
    <mergeCell ref="A20:A24"/>
    <mergeCell ref="B20:B24"/>
    <mergeCell ref="C20:C24"/>
    <mergeCell ref="D20:D24"/>
    <mergeCell ref="G20:G23"/>
    <mergeCell ref="H20:H23"/>
    <mergeCell ref="U11:U12"/>
    <mergeCell ref="L8:L9"/>
    <mergeCell ref="M8:M9"/>
    <mergeCell ref="N8:N9"/>
    <mergeCell ref="O8:O9"/>
    <mergeCell ref="P8:P9"/>
    <mergeCell ref="Q8:Q9"/>
    <mergeCell ref="U8:U10"/>
    <mergeCell ref="H8:H9"/>
    <mergeCell ref="I20:I23"/>
    <mergeCell ref="T25:T33"/>
    <mergeCell ref="I25:I33"/>
    <mergeCell ref="N13:N19"/>
    <mergeCell ref="A13:A19"/>
    <mergeCell ref="B13:B19"/>
    <mergeCell ref="C13:C19"/>
    <mergeCell ref="D13:D19"/>
    <mergeCell ref="G13:G19"/>
    <mergeCell ref="H13:H19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R20:R23"/>
    <mergeCell ref="M20:M23"/>
    <mergeCell ref="R46:R49"/>
    <mergeCell ref="S46:S49"/>
    <mergeCell ref="T46:T49"/>
    <mergeCell ref="U46:U49"/>
    <mergeCell ref="O46:O49"/>
    <mergeCell ref="P46:P49"/>
    <mergeCell ref="Q46:Q49"/>
    <mergeCell ref="M35:M45"/>
    <mergeCell ref="N35:N45"/>
    <mergeCell ref="L35:L45"/>
    <mergeCell ref="L46:L49"/>
    <mergeCell ref="O35:O45"/>
    <mergeCell ref="P35:P45"/>
    <mergeCell ref="I46:I49"/>
    <mergeCell ref="J46:J49"/>
    <mergeCell ref="K46:K49"/>
    <mergeCell ref="J35:J45"/>
    <mergeCell ref="M46:M49"/>
    <mergeCell ref="N46:N49"/>
    <mergeCell ref="H35:H45"/>
    <mergeCell ref="I35:I45"/>
    <mergeCell ref="U35:U45"/>
    <mergeCell ref="G46:G49"/>
    <mergeCell ref="H46:H49"/>
    <mergeCell ref="Q35:Q45"/>
    <mergeCell ref="R35:R45"/>
    <mergeCell ref="S35:S45"/>
    <mergeCell ref="T35:T45"/>
    <mergeCell ref="K35:K45"/>
    <mergeCell ref="J25:J33"/>
    <mergeCell ref="K25:K33"/>
    <mergeCell ref="L25:L33"/>
    <mergeCell ref="M25:M33"/>
    <mergeCell ref="N25:N33"/>
    <mergeCell ref="A34:U34"/>
    <mergeCell ref="S25:S33"/>
    <mergeCell ref="A35:A50"/>
    <mergeCell ref="A51:A59"/>
    <mergeCell ref="B51:B59"/>
    <mergeCell ref="C51:C59"/>
    <mergeCell ref="D51:D59"/>
    <mergeCell ref="G51:G58"/>
    <mergeCell ref="B35:B50"/>
    <mergeCell ref="C35:C50"/>
    <mergeCell ref="D35:D50"/>
    <mergeCell ref="G35:G45"/>
    <mergeCell ref="H51:H58"/>
    <mergeCell ref="I51:I58"/>
    <mergeCell ref="J51:J58"/>
    <mergeCell ref="K51:K58"/>
    <mergeCell ref="L51:L58"/>
    <mergeCell ref="M51:M58"/>
    <mergeCell ref="N51:N58"/>
    <mergeCell ref="O51:O58"/>
    <mergeCell ref="P51:P58"/>
    <mergeCell ref="Q51:Q58"/>
    <mergeCell ref="R51:R58"/>
    <mergeCell ref="S51:S58"/>
    <mergeCell ref="T51:T58"/>
    <mergeCell ref="Q60:Q63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H65:H69"/>
    <mergeCell ref="L60:L63"/>
    <mergeCell ref="M60:M63"/>
    <mergeCell ref="N60:N63"/>
    <mergeCell ref="O60:O63"/>
    <mergeCell ref="I65:I69"/>
    <mergeCell ref="J65:J69"/>
    <mergeCell ref="P60:P63"/>
    <mergeCell ref="K60:K63"/>
    <mergeCell ref="N65:N69"/>
    <mergeCell ref="R60:R63"/>
    <mergeCell ref="S60:S63"/>
    <mergeCell ref="T60:T63"/>
    <mergeCell ref="T65:T69"/>
    <mergeCell ref="K65:K69"/>
    <mergeCell ref="L65:L69"/>
    <mergeCell ref="M65:M69"/>
    <mergeCell ref="U60:U63"/>
    <mergeCell ref="A65:A70"/>
    <mergeCell ref="B65:B70"/>
    <mergeCell ref="C65:C70"/>
    <mergeCell ref="D65:D70"/>
    <mergeCell ref="G65:G69"/>
    <mergeCell ref="P65:P69"/>
    <mergeCell ref="Q65:Q69"/>
    <mergeCell ref="R65:R69"/>
    <mergeCell ref="S65:S69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A75:A78"/>
    <mergeCell ref="B75:B78"/>
    <mergeCell ref="C75:C78"/>
    <mergeCell ref="D75:D78"/>
    <mergeCell ref="G75:G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Q75:Q78"/>
    <mergeCell ref="R75:R78"/>
    <mergeCell ref="S75:S78"/>
    <mergeCell ref="T75:T78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T85:T91"/>
    <mergeCell ref="U85:U91"/>
    <mergeCell ref="O85:O91"/>
    <mergeCell ref="P85:P91"/>
    <mergeCell ref="Q85:Q91"/>
    <mergeCell ref="R85:R91"/>
    <mergeCell ref="S85:S91"/>
    <mergeCell ref="L79:L83"/>
    <mergeCell ref="M79:M83"/>
    <mergeCell ref="N79:N83"/>
    <mergeCell ref="O79:O83"/>
    <mergeCell ref="P79:P83"/>
    <mergeCell ref="Q79:Q83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K93:K95"/>
    <mergeCell ref="A93:A96"/>
    <mergeCell ref="B93:B96"/>
    <mergeCell ref="C93:C96"/>
    <mergeCell ref="D93:D96"/>
    <mergeCell ref="G93:G95"/>
    <mergeCell ref="H93:H95"/>
    <mergeCell ref="U97:U98"/>
    <mergeCell ref="O97:O98"/>
    <mergeCell ref="P97:P98"/>
    <mergeCell ref="Q97:Q98"/>
    <mergeCell ref="R97:R98"/>
    <mergeCell ref="S97:S98"/>
    <mergeCell ref="N93:N95"/>
    <mergeCell ref="O93:O95"/>
    <mergeCell ref="P93:P95"/>
    <mergeCell ref="Q93:Q95"/>
    <mergeCell ref="T97:T98"/>
    <mergeCell ref="R93:R95"/>
    <mergeCell ref="S93:S95"/>
    <mergeCell ref="T93:T95"/>
    <mergeCell ref="N97:N98"/>
    <mergeCell ref="M100:M101"/>
    <mergeCell ref="N100:N101"/>
    <mergeCell ref="U93:U95"/>
    <mergeCell ref="A97:A99"/>
    <mergeCell ref="B97:B99"/>
    <mergeCell ref="C97:C99"/>
    <mergeCell ref="D97:D99"/>
    <mergeCell ref="G97:G98"/>
    <mergeCell ref="L93:L95"/>
    <mergeCell ref="M93:M95"/>
    <mergeCell ref="H97:H98"/>
    <mergeCell ref="I97:I98"/>
    <mergeCell ref="J97:J98"/>
    <mergeCell ref="K97:K98"/>
    <mergeCell ref="L97:L98"/>
    <mergeCell ref="M97:M98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  <rowBreaks count="4" manualBreakCount="4">
    <brk id="68" max="20" man="1"/>
    <brk id="81" max="20" man="1"/>
    <brk id="116" max="20" man="1"/>
    <brk id="119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110" zoomScaleNormal="110" zoomScalePageLayoutView="0" workbookViewId="0" topLeftCell="D1">
      <selection activeCell="H2" sqref="H1:U16384"/>
    </sheetView>
  </sheetViews>
  <sheetFormatPr defaultColWidth="9.00390625" defaultRowHeight="15"/>
  <cols>
    <col min="1" max="5" width="22.57421875" style="176" customWidth="1"/>
    <col min="6" max="6" width="8.57421875" style="176" bestFit="1" customWidth="1"/>
    <col min="7" max="7" width="4.57421875" style="177" bestFit="1" customWidth="1"/>
    <col min="8" max="8" width="12.57421875" style="177" customWidth="1"/>
    <col min="9" max="20" width="4.00390625" style="177" customWidth="1"/>
    <col min="21" max="21" width="10.8515625" style="176" customWidth="1"/>
    <col min="22" max="16384" width="9.00390625" style="176" customWidth="1"/>
  </cols>
  <sheetData>
    <row r="1" spans="1:21" ht="20.25">
      <c r="A1" s="1712" t="s">
        <v>1053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712"/>
      <c r="T1" s="1712"/>
      <c r="U1" s="1712"/>
    </row>
    <row r="2" spans="1:21" ht="20.25">
      <c r="A2" s="1713" t="s">
        <v>1054</v>
      </c>
      <c r="B2" s="1713"/>
      <c r="C2" s="1713"/>
      <c r="D2" s="1713"/>
      <c r="E2" s="237"/>
      <c r="F2" s="1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1"/>
    </row>
    <row r="3" spans="1:21" ht="20.25">
      <c r="A3" s="1714" t="s">
        <v>1055</v>
      </c>
      <c r="B3" s="1714"/>
      <c r="C3" s="1714"/>
      <c r="D3" s="1714"/>
      <c r="E3" s="1714"/>
      <c r="F3" s="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1"/>
    </row>
    <row r="4" spans="1:21" ht="18.75">
      <c r="A4" s="1345" t="s">
        <v>44</v>
      </c>
      <c r="B4" s="1343" t="s">
        <v>45</v>
      </c>
      <c r="C4" s="1343" t="s">
        <v>46</v>
      </c>
      <c r="D4" s="1343" t="s">
        <v>47</v>
      </c>
      <c r="E4" s="1343" t="s">
        <v>48</v>
      </c>
      <c r="F4" s="1343"/>
      <c r="G4" s="1343"/>
      <c r="H4" s="1715" t="s">
        <v>1424</v>
      </c>
      <c r="I4" s="1715" t="s">
        <v>50</v>
      </c>
      <c r="J4" s="1715"/>
      <c r="K4" s="1715"/>
      <c r="L4" s="1715"/>
      <c r="M4" s="1715"/>
      <c r="N4" s="1715"/>
      <c r="O4" s="1715"/>
      <c r="P4" s="1715"/>
      <c r="Q4" s="1715"/>
      <c r="R4" s="1715"/>
      <c r="S4" s="1715"/>
      <c r="T4" s="1715"/>
      <c r="U4" s="1345" t="s">
        <v>153</v>
      </c>
    </row>
    <row r="5" spans="1:21" ht="15">
      <c r="A5" s="1346"/>
      <c r="B5" s="1343"/>
      <c r="C5" s="1343"/>
      <c r="D5" s="1343"/>
      <c r="E5" s="1345" t="s">
        <v>52</v>
      </c>
      <c r="F5" s="1716" t="s">
        <v>53</v>
      </c>
      <c r="G5" s="1715" t="s">
        <v>54</v>
      </c>
      <c r="H5" s="1715"/>
      <c r="I5" s="1715" t="s">
        <v>55</v>
      </c>
      <c r="J5" s="1715" t="s">
        <v>56</v>
      </c>
      <c r="K5" s="1715" t="s">
        <v>57</v>
      </c>
      <c r="L5" s="1715" t="s">
        <v>58</v>
      </c>
      <c r="M5" s="1715" t="s">
        <v>59</v>
      </c>
      <c r="N5" s="1715" t="s">
        <v>60</v>
      </c>
      <c r="O5" s="1715" t="s">
        <v>61</v>
      </c>
      <c r="P5" s="1715" t="s">
        <v>62</v>
      </c>
      <c r="Q5" s="1715" t="s">
        <v>63</v>
      </c>
      <c r="R5" s="1715" t="s">
        <v>64</v>
      </c>
      <c r="S5" s="1715" t="s">
        <v>65</v>
      </c>
      <c r="T5" s="1715" t="s">
        <v>66</v>
      </c>
      <c r="U5" s="1346"/>
    </row>
    <row r="6" spans="1:21" ht="34.5" customHeight="1">
      <c r="A6" s="1347"/>
      <c r="B6" s="1343"/>
      <c r="C6" s="1343"/>
      <c r="D6" s="1343"/>
      <c r="E6" s="1347"/>
      <c r="F6" s="1717"/>
      <c r="G6" s="1715"/>
      <c r="H6" s="1715"/>
      <c r="I6" s="1715"/>
      <c r="J6" s="1715"/>
      <c r="K6" s="1715"/>
      <c r="L6" s="1715"/>
      <c r="M6" s="1715"/>
      <c r="N6" s="1715"/>
      <c r="O6" s="1715"/>
      <c r="P6" s="1715"/>
      <c r="Q6" s="1715"/>
      <c r="R6" s="1715"/>
      <c r="S6" s="1715"/>
      <c r="T6" s="1715"/>
      <c r="U6" s="1347"/>
    </row>
    <row r="7" spans="1:26" s="181" customFormat="1" ht="75">
      <c r="A7" s="1705" t="s">
        <v>1056</v>
      </c>
      <c r="B7" s="1705" t="s">
        <v>1057</v>
      </c>
      <c r="C7" s="1705" t="s">
        <v>1058</v>
      </c>
      <c r="D7" s="1705" t="s">
        <v>1059</v>
      </c>
      <c r="E7" s="178" t="s">
        <v>1060</v>
      </c>
      <c r="F7" s="179">
        <f>3*50*20</f>
        <v>3000</v>
      </c>
      <c r="G7" s="1678" t="s">
        <v>77</v>
      </c>
      <c r="H7" s="1709" t="s">
        <v>1061</v>
      </c>
      <c r="I7" s="1682"/>
      <c r="J7" s="1684">
        <v>2000</v>
      </c>
      <c r="K7" s="1663"/>
      <c r="L7" s="1663"/>
      <c r="M7" s="1684">
        <v>2000</v>
      </c>
      <c r="N7" s="1663"/>
      <c r="O7" s="1663"/>
      <c r="P7" s="1684">
        <v>2000</v>
      </c>
      <c r="Q7" s="1682"/>
      <c r="R7" s="1682"/>
      <c r="S7" s="1682"/>
      <c r="T7" s="1682"/>
      <c r="U7" s="1700" t="s">
        <v>1062</v>
      </c>
      <c r="V7" s="180"/>
      <c r="W7" s="180"/>
      <c r="X7" s="180"/>
      <c r="Y7" s="180"/>
      <c r="Z7" s="180"/>
    </row>
    <row r="8" spans="1:26" s="181" customFormat="1" ht="18.75">
      <c r="A8" s="1676"/>
      <c r="B8" s="1676"/>
      <c r="C8" s="1676"/>
      <c r="D8" s="1676"/>
      <c r="E8" s="178" t="s">
        <v>1063</v>
      </c>
      <c r="F8" s="179">
        <v>1500</v>
      </c>
      <c r="G8" s="1708"/>
      <c r="H8" s="1710"/>
      <c r="I8" s="1703"/>
      <c r="J8" s="1702"/>
      <c r="K8" s="1704"/>
      <c r="L8" s="1704"/>
      <c r="M8" s="1702"/>
      <c r="N8" s="1704"/>
      <c r="O8" s="1704"/>
      <c r="P8" s="1702"/>
      <c r="Q8" s="1703"/>
      <c r="R8" s="1703"/>
      <c r="S8" s="1703"/>
      <c r="T8" s="1703"/>
      <c r="U8" s="1666"/>
      <c r="V8" s="180"/>
      <c r="W8" s="180"/>
      <c r="X8" s="180"/>
      <c r="Y8" s="180"/>
      <c r="Z8" s="180"/>
    </row>
    <row r="9" spans="1:26" s="181" customFormat="1" ht="18.75">
      <c r="A9" s="1676"/>
      <c r="B9" s="1676"/>
      <c r="C9" s="1676"/>
      <c r="D9" s="1676"/>
      <c r="E9" s="178" t="s">
        <v>1064</v>
      </c>
      <c r="F9" s="179">
        <f>3*500</f>
        <v>1500</v>
      </c>
      <c r="G9" s="1679"/>
      <c r="H9" s="1711"/>
      <c r="I9" s="1683"/>
      <c r="J9" s="1685"/>
      <c r="K9" s="1664"/>
      <c r="L9" s="1664"/>
      <c r="M9" s="1685"/>
      <c r="N9" s="1664"/>
      <c r="O9" s="1664"/>
      <c r="P9" s="1685"/>
      <c r="Q9" s="1683"/>
      <c r="R9" s="1683"/>
      <c r="S9" s="1683"/>
      <c r="T9" s="1683"/>
      <c r="U9" s="1666"/>
      <c r="V9" s="180"/>
      <c r="W9" s="180"/>
      <c r="X9" s="180"/>
      <c r="Y9" s="180"/>
      <c r="Z9" s="180"/>
    </row>
    <row r="10" spans="1:26" s="181" customFormat="1" ht="18.75">
      <c r="A10" s="1706"/>
      <c r="B10" s="1707"/>
      <c r="C10" s="1707"/>
      <c r="D10" s="1707"/>
      <c r="E10" s="182" t="s">
        <v>1065</v>
      </c>
      <c r="F10" s="183">
        <f>SUM(F7:F9)</f>
        <v>6000</v>
      </c>
      <c r="G10" s="184"/>
      <c r="H10" s="184"/>
      <c r="I10" s="185"/>
      <c r="J10" s="186"/>
      <c r="K10" s="187"/>
      <c r="L10" s="188"/>
      <c r="M10" s="186"/>
      <c r="N10" s="188"/>
      <c r="O10" s="188"/>
      <c r="P10" s="186"/>
      <c r="Q10" s="188"/>
      <c r="R10" s="188"/>
      <c r="S10" s="188"/>
      <c r="T10" s="188"/>
      <c r="U10" s="1701"/>
      <c r="V10" s="189"/>
      <c r="W10" s="189"/>
      <c r="X10" s="189"/>
      <c r="Y10" s="189"/>
      <c r="Z10" s="189"/>
    </row>
    <row r="11" spans="1:21" s="29" customFormat="1" ht="37.5">
      <c r="A11" s="1306" t="s">
        <v>1066</v>
      </c>
      <c r="B11" s="1292" t="s">
        <v>1067</v>
      </c>
      <c r="C11" s="1306" t="s">
        <v>1068</v>
      </c>
      <c r="D11" s="1292" t="s">
        <v>1069</v>
      </c>
      <c r="E11" s="202" t="s">
        <v>1070</v>
      </c>
      <c r="F11" s="203">
        <v>5000</v>
      </c>
      <c r="G11" s="1690" t="s">
        <v>77</v>
      </c>
      <c r="H11" s="1698">
        <v>22658</v>
      </c>
      <c r="I11" s="1687"/>
      <c r="J11" s="1687"/>
      <c r="K11" s="1687"/>
      <c r="L11" s="1695">
        <f>F15</f>
        <v>9700</v>
      </c>
      <c r="M11" s="1687"/>
      <c r="N11" s="1687"/>
      <c r="O11" s="1687"/>
      <c r="P11" s="1687"/>
      <c r="Q11" s="1687"/>
      <c r="R11" s="1687"/>
      <c r="S11" s="1687"/>
      <c r="T11" s="1687"/>
      <c r="U11" s="1276" t="s">
        <v>1071</v>
      </c>
    </row>
    <row r="12" spans="1:21" s="29" customFormat="1" ht="37.5">
      <c r="A12" s="1307"/>
      <c r="B12" s="1292"/>
      <c r="C12" s="1307"/>
      <c r="D12" s="1292"/>
      <c r="E12" s="210" t="s">
        <v>1072</v>
      </c>
      <c r="F12" s="203">
        <v>2000</v>
      </c>
      <c r="G12" s="1691"/>
      <c r="H12" s="1699"/>
      <c r="I12" s="1688"/>
      <c r="J12" s="1688"/>
      <c r="K12" s="1688"/>
      <c r="L12" s="1696"/>
      <c r="M12" s="1688"/>
      <c r="N12" s="1688"/>
      <c r="O12" s="1688"/>
      <c r="P12" s="1688"/>
      <c r="Q12" s="1688"/>
      <c r="R12" s="1688"/>
      <c r="S12" s="1688"/>
      <c r="T12" s="1688"/>
      <c r="U12" s="1277"/>
    </row>
    <row r="13" spans="1:21" s="29" customFormat="1" ht="56.25">
      <c r="A13" s="1307"/>
      <c r="B13" s="1292"/>
      <c r="C13" s="1307"/>
      <c r="D13" s="1292"/>
      <c r="E13" s="210" t="s">
        <v>1073</v>
      </c>
      <c r="F13" s="203">
        <v>2100</v>
      </c>
      <c r="G13" s="1691"/>
      <c r="H13" s="1699"/>
      <c r="I13" s="1688"/>
      <c r="J13" s="1688"/>
      <c r="K13" s="1688"/>
      <c r="L13" s="1696"/>
      <c r="M13" s="1688"/>
      <c r="N13" s="1688"/>
      <c r="O13" s="1688"/>
      <c r="P13" s="1688"/>
      <c r="Q13" s="1688"/>
      <c r="R13" s="1688"/>
      <c r="S13" s="1688"/>
      <c r="T13" s="1688"/>
      <c r="U13" s="1277"/>
    </row>
    <row r="14" spans="1:21" s="29" customFormat="1" ht="18.75">
      <c r="A14" s="1307"/>
      <c r="B14" s="1292"/>
      <c r="C14" s="1307"/>
      <c r="D14" s="1292"/>
      <c r="E14" s="210" t="s">
        <v>1074</v>
      </c>
      <c r="F14" s="203">
        <v>600</v>
      </c>
      <c r="G14" s="1692"/>
      <c r="H14" s="1699"/>
      <c r="I14" s="1688"/>
      <c r="J14" s="1688"/>
      <c r="K14" s="1689"/>
      <c r="L14" s="1697"/>
      <c r="M14" s="1689"/>
      <c r="N14" s="1689"/>
      <c r="O14" s="1689"/>
      <c r="P14" s="1689"/>
      <c r="Q14" s="1689"/>
      <c r="R14" s="1689"/>
      <c r="S14" s="1689"/>
      <c r="T14" s="1689"/>
      <c r="U14" s="1277"/>
    </row>
    <row r="15" spans="1:21" s="190" customFormat="1" ht="18.75">
      <c r="A15" s="1308"/>
      <c r="B15" s="1292"/>
      <c r="C15" s="1308"/>
      <c r="D15" s="1292"/>
      <c r="E15" s="475" t="s">
        <v>1065</v>
      </c>
      <c r="F15" s="476">
        <f>SUM(F11:F14)</f>
        <v>9700</v>
      </c>
      <c r="G15" s="477"/>
      <c r="H15" s="477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281"/>
    </row>
    <row r="16" spans="1:21" s="29" customFormat="1" ht="37.5">
      <c r="A16" s="1306" t="s">
        <v>1075</v>
      </c>
      <c r="B16" s="1292" t="s">
        <v>1076</v>
      </c>
      <c r="C16" s="1306" t="s">
        <v>1077</v>
      </c>
      <c r="D16" s="1292" t="s">
        <v>1078</v>
      </c>
      <c r="E16" s="202" t="s">
        <v>1079</v>
      </c>
      <c r="F16" s="203">
        <v>3000</v>
      </c>
      <c r="G16" s="1690" t="s">
        <v>77</v>
      </c>
      <c r="H16" s="1698" t="s">
        <v>1080</v>
      </c>
      <c r="I16" s="1687"/>
      <c r="J16" s="1687"/>
      <c r="K16" s="1687"/>
      <c r="L16" s="1687"/>
      <c r="M16" s="1687">
        <f>F20</f>
        <v>5000</v>
      </c>
      <c r="N16" s="1687"/>
      <c r="O16" s="1687"/>
      <c r="P16" s="1687"/>
      <c r="Q16" s="1687"/>
      <c r="R16" s="1687"/>
      <c r="S16" s="1687"/>
      <c r="T16" s="1687"/>
      <c r="U16" s="1276" t="s">
        <v>1071</v>
      </c>
    </row>
    <row r="17" spans="1:21" s="29" customFormat="1" ht="18.75">
      <c r="A17" s="1307"/>
      <c r="B17" s="1292"/>
      <c r="C17" s="1307"/>
      <c r="D17" s="1292"/>
      <c r="E17" s="210" t="s">
        <v>1081</v>
      </c>
      <c r="F17" s="203">
        <v>2000</v>
      </c>
      <c r="G17" s="1691"/>
      <c r="H17" s="1699"/>
      <c r="I17" s="1688"/>
      <c r="J17" s="1688"/>
      <c r="K17" s="1688"/>
      <c r="L17" s="1688"/>
      <c r="M17" s="1688"/>
      <c r="N17" s="1688"/>
      <c r="O17" s="1688"/>
      <c r="P17" s="1688"/>
      <c r="Q17" s="1688"/>
      <c r="R17" s="1688"/>
      <c r="S17" s="1688"/>
      <c r="T17" s="1688"/>
      <c r="U17" s="1277"/>
    </row>
    <row r="18" spans="1:21" s="29" customFormat="1" ht="18.75">
      <c r="A18" s="1307"/>
      <c r="B18" s="1292"/>
      <c r="C18" s="1307"/>
      <c r="D18" s="1292"/>
      <c r="E18" s="210"/>
      <c r="F18" s="203"/>
      <c r="G18" s="1691"/>
      <c r="H18" s="1699"/>
      <c r="I18" s="1688"/>
      <c r="J18" s="1688"/>
      <c r="K18" s="1688"/>
      <c r="L18" s="1688"/>
      <c r="M18" s="1688"/>
      <c r="N18" s="1688"/>
      <c r="O18" s="1688"/>
      <c r="P18" s="1688"/>
      <c r="Q18" s="1688"/>
      <c r="R18" s="1688"/>
      <c r="S18" s="1688"/>
      <c r="T18" s="1688"/>
      <c r="U18" s="1277"/>
    </row>
    <row r="19" spans="1:21" s="29" customFormat="1" ht="18.75">
      <c r="A19" s="1307"/>
      <c r="B19" s="1292"/>
      <c r="C19" s="1307"/>
      <c r="D19" s="1292"/>
      <c r="E19" s="210"/>
      <c r="F19" s="203"/>
      <c r="G19" s="1692"/>
      <c r="H19" s="1699"/>
      <c r="I19" s="1688"/>
      <c r="J19" s="1688"/>
      <c r="K19" s="1689"/>
      <c r="L19" s="1689"/>
      <c r="M19" s="1689"/>
      <c r="N19" s="1689"/>
      <c r="O19" s="1689"/>
      <c r="P19" s="1689"/>
      <c r="Q19" s="1689"/>
      <c r="R19" s="1689"/>
      <c r="S19" s="1689"/>
      <c r="T19" s="1689"/>
      <c r="U19" s="1277"/>
    </row>
    <row r="20" spans="1:21" s="190" customFormat="1" ht="18.75">
      <c r="A20" s="1308"/>
      <c r="B20" s="1292"/>
      <c r="C20" s="1308"/>
      <c r="D20" s="1292"/>
      <c r="E20" s="475" t="s">
        <v>1065</v>
      </c>
      <c r="F20" s="476">
        <f>SUM(F16:F19)</f>
        <v>5000</v>
      </c>
      <c r="G20" s="477"/>
      <c r="H20" s="477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281"/>
    </row>
    <row r="21" spans="1:21" s="29" customFormat="1" ht="37.5">
      <c r="A21" s="1306" t="s">
        <v>1082</v>
      </c>
      <c r="B21" s="1292" t="s">
        <v>1083</v>
      </c>
      <c r="C21" s="1306" t="s">
        <v>1084</v>
      </c>
      <c r="D21" s="1292" t="s">
        <v>1085</v>
      </c>
      <c r="E21" s="202" t="s">
        <v>1086</v>
      </c>
      <c r="F21" s="203">
        <v>6400</v>
      </c>
      <c r="G21" s="1690" t="s">
        <v>77</v>
      </c>
      <c r="H21" s="1693" t="s">
        <v>1087</v>
      </c>
      <c r="I21" s="1687"/>
      <c r="J21" s="1687"/>
      <c r="K21" s="1687">
        <v>6800</v>
      </c>
      <c r="L21" s="1687"/>
      <c r="M21" s="1687"/>
      <c r="N21" s="1687"/>
      <c r="O21" s="1687"/>
      <c r="P21" s="1687">
        <v>6800</v>
      </c>
      <c r="Q21" s="1687"/>
      <c r="R21" s="1687"/>
      <c r="S21" s="1687"/>
      <c r="T21" s="1687"/>
      <c r="U21" s="1276" t="s">
        <v>1088</v>
      </c>
    </row>
    <row r="22" spans="1:21" s="29" customFormat="1" ht="37.5">
      <c r="A22" s="1307"/>
      <c r="B22" s="1292"/>
      <c r="C22" s="1307"/>
      <c r="D22" s="1292"/>
      <c r="E22" s="210" t="s">
        <v>1089</v>
      </c>
      <c r="F22" s="203">
        <v>3200</v>
      </c>
      <c r="G22" s="1691"/>
      <c r="H22" s="1694"/>
      <c r="I22" s="1688"/>
      <c r="J22" s="1688"/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277"/>
    </row>
    <row r="23" spans="1:21" s="29" customFormat="1" ht="18.75">
      <c r="A23" s="1307"/>
      <c r="B23" s="1292"/>
      <c r="C23" s="1307"/>
      <c r="D23" s="1292"/>
      <c r="E23" s="210" t="s">
        <v>1090</v>
      </c>
      <c r="F23" s="203">
        <v>2000</v>
      </c>
      <c r="G23" s="1691"/>
      <c r="H23" s="1694"/>
      <c r="I23" s="1688"/>
      <c r="J23" s="1688"/>
      <c r="K23" s="1688"/>
      <c r="L23" s="1688"/>
      <c r="M23" s="1688"/>
      <c r="N23" s="1688"/>
      <c r="O23" s="1688"/>
      <c r="P23" s="1688"/>
      <c r="Q23" s="1688"/>
      <c r="R23" s="1688"/>
      <c r="S23" s="1688"/>
      <c r="T23" s="1688"/>
      <c r="U23" s="1277"/>
    </row>
    <row r="24" spans="1:21" s="29" customFormat="1" ht="18.75">
      <c r="A24" s="1307"/>
      <c r="B24" s="1292"/>
      <c r="C24" s="1307"/>
      <c r="D24" s="1292"/>
      <c r="E24" s="210" t="s">
        <v>1081</v>
      </c>
      <c r="F24" s="203">
        <v>2000</v>
      </c>
      <c r="G24" s="1692"/>
      <c r="H24" s="1694"/>
      <c r="I24" s="1688"/>
      <c r="J24" s="1688"/>
      <c r="K24" s="1689"/>
      <c r="L24" s="1689"/>
      <c r="M24" s="1689"/>
      <c r="N24" s="1689"/>
      <c r="O24" s="1689"/>
      <c r="P24" s="1689"/>
      <c r="Q24" s="1689"/>
      <c r="R24" s="1689"/>
      <c r="S24" s="1689"/>
      <c r="T24" s="1689"/>
      <c r="U24" s="1277"/>
    </row>
    <row r="25" spans="1:21" s="29" customFormat="1" ht="18.75">
      <c r="A25" s="1308"/>
      <c r="B25" s="1292"/>
      <c r="C25" s="1308"/>
      <c r="D25" s="1292"/>
      <c r="E25" s="475" t="s">
        <v>1065</v>
      </c>
      <c r="F25" s="476">
        <f>SUM(F21:F24)</f>
        <v>13600</v>
      </c>
      <c r="G25" s="477"/>
      <c r="H25" s="477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281"/>
    </row>
    <row r="26" spans="1:21" s="29" customFormat="1" ht="57.75">
      <c r="A26" s="1668" t="s">
        <v>1091</v>
      </c>
      <c r="B26" s="1669"/>
      <c r="C26" s="1669"/>
      <c r="D26" s="1670"/>
      <c r="E26" s="479" t="s">
        <v>1092</v>
      </c>
      <c r="F26" s="480">
        <f>F10+F15+F20+F25</f>
        <v>34300</v>
      </c>
      <c r="G26" s="481"/>
      <c r="H26" s="481"/>
      <c r="I26" s="478">
        <f>SUM(I16:I20)</f>
        <v>0</v>
      </c>
      <c r="J26" s="478">
        <f>J7+J11+J16+J21</f>
        <v>2000</v>
      </c>
      <c r="K26" s="478">
        <f aca="true" t="shared" si="0" ref="K26:T26">K7+K11+K16+K21</f>
        <v>6800</v>
      </c>
      <c r="L26" s="478">
        <f t="shared" si="0"/>
        <v>9700</v>
      </c>
      <c r="M26" s="478">
        <f t="shared" si="0"/>
        <v>7000</v>
      </c>
      <c r="N26" s="478">
        <f t="shared" si="0"/>
        <v>0</v>
      </c>
      <c r="O26" s="478">
        <f t="shared" si="0"/>
        <v>0</v>
      </c>
      <c r="P26" s="478">
        <f t="shared" si="0"/>
        <v>8800</v>
      </c>
      <c r="Q26" s="478">
        <f t="shared" si="0"/>
        <v>0</v>
      </c>
      <c r="R26" s="478">
        <f t="shared" si="0"/>
        <v>0</v>
      </c>
      <c r="S26" s="478">
        <f t="shared" si="0"/>
        <v>0</v>
      </c>
      <c r="T26" s="478">
        <f t="shared" si="0"/>
        <v>0</v>
      </c>
      <c r="U26" s="292"/>
    </row>
    <row r="27" spans="1:21" ht="18.75">
      <c r="A27" s="1686" t="s">
        <v>1093</v>
      </c>
      <c r="B27" s="1686"/>
      <c r="C27" s="1686"/>
      <c r="D27" s="1686"/>
      <c r="E27" s="1686"/>
      <c r="F27" s="29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29"/>
    </row>
    <row r="28" spans="1:26" s="181" customFormat="1" ht="75">
      <c r="A28" s="1672" t="s">
        <v>1094</v>
      </c>
      <c r="B28" s="1675" t="s">
        <v>1095</v>
      </c>
      <c r="C28" s="1672" t="s">
        <v>1096</v>
      </c>
      <c r="D28" s="1675" t="s">
        <v>1097</v>
      </c>
      <c r="E28" s="178" t="s">
        <v>1098</v>
      </c>
      <c r="F28" s="179">
        <v>8000</v>
      </c>
      <c r="G28" s="1678" t="s">
        <v>1099</v>
      </c>
      <c r="H28" s="1680">
        <v>22634</v>
      </c>
      <c r="I28" s="1682"/>
      <c r="J28" s="1663"/>
      <c r="K28" s="1684">
        <v>8000</v>
      </c>
      <c r="L28" s="1663"/>
      <c r="M28" s="1663"/>
      <c r="N28" s="1663"/>
      <c r="O28" s="1663"/>
      <c r="P28" s="1663"/>
      <c r="Q28" s="1663"/>
      <c r="R28" s="1663"/>
      <c r="S28" s="1663"/>
      <c r="T28" s="1663"/>
      <c r="U28" s="1665" t="s">
        <v>1062</v>
      </c>
      <c r="V28" s="180"/>
      <c r="W28" s="180"/>
      <c r="X28" s="180"/>
      <c r="Y28" s="180"/>
      <c r="Z28" s="180"/>
    </row>
    <row r="29" spans="1:26" s="181" customFormat="1" ht="18.75">
      <c r="A29" s="1673"/>
      <c r="B29" s="1676"/>
      <c r="C29" s="1673"/>
      <c r="D29" s="1676"/>
      <c r="E29" s="178"/>
      <c r="F29" s="179"/>
      <c r="G29" s="1679"/>
      <c r="H29" s="1681"/>
      <c r="I29" s="1683"/>
      <c r="J29" s="1664"/>
      <c r="K29" s="1685"/>
      <c r="L29" s="1664"/>
      <c r="M29" s="1664"/>
      <c r="N29" s="1664"/>
      <c r="O29" s="1664"/>
      <c r="P29" s="1664"/>
      <c r="Q29" s="1664"/>
      <c r="R29" s="1664"/>
      <c r="S29" s="1664"/>
      <c r="T29" s="1664"/>
      <c r="U29" s="1666"/>
      <c r="V29" s="180"/>
      <c r="W29" s="180"/>
      <c r="X29" s="180"/>
      <c r="Y29" s="180"/>
      <c r="Z29" s="180"/>
    </row>
    <row r="30" spans="1:26" s="181" customFormat="1" ht="18.75">
      <c r="A30" s="1674"/>
      <c r="B30" s="1677"/>
      <c r="C30" s="1674"/>
      <c r="D30" s="1677"/>
      <c r="E30" s="182" t="s">
        <v>1065</v>
      </c>
      <c r="F30" s="183">
        <f>SUM(F28:F29)</f>
        <v>8000</v>
      </c>
      <c r="G30" s="184"/>
      <c r="H30" s="184"/>
      <c r="I30" s="191"/>
      <c r="J30" s="188"/>
      <c r="K30" s="186"/>
      <c r="L30" s="192"/>
      <c r="M30" s="192"/>
      <c r="N30" s="188"/>
      <c r="O30" s="188"/>
      <c r="P30" s="188"/>
      <c r="Q30" s="188"/>
      <c r="R30" s="188"/>
      <c r="S30" s="188"/>
      <c r="T30" s="188"/>
      <c r="U30" s="1667"/>
      <c r="V30" s="189"/>
      <c r="W30" s="189"/>
      <c r="X30" s="189"/>
      <c r="Y30" s="189"/>
      <c r="Z30" s="189"/>
    </row>
    <row r="31" spans="1:21" s="29" customFormat="1" ht="57.75">
      <c r="A31" s="1668" t="s">
        <v>1091</v>
      </c>
      <c r="B31" s="1669"/>
      <c r="C31" s="1669"/>
      <c r="D31" s="1670"/>
      <c r="E31" s="479" t="s">
        <v>1092</v>
      </c>
      <c r="F31" s="480">
        <f>F30</f>
        <v>8000</v>
      </c>
      <c r="G31" s="481"/>
      <c r="H31" s="481"/>
      <c r="I31" s="478"/>
      <c r="J31" s="478"/>
      <c r="K31" s="478">
        <f>SUM(K28:K30)</f>
        <v>8000</v>
      </c>
      <c r="L31" s="478"/>
      <c r="M31" s="478"/>
      <c r="N31" s="478"/>
      <c r="O31" s="478"/>
      <c r="P31" s="478"/>
      <c r="Q31" s="478"/>
      <c r="R31" s="478"/>
      <c r="S31" s="478"/>
      <c r="T31" s="478"/>
      <c r="U31" s="292"/>
    </row>
    <row r="34" spans="1:5" ht="20.25">
      <c r="A34" s="193" t="s">
        <v>140</v>
      </c>
      <c r="B34" s="1671" t="s">
        <v>141</v>
      </c>
      <c r="C34" s="1671"/>
      <c r="D34" s="1671"/>
      <c r="E34" s="1671"/>
    </row>
  </sheetData>
  <sheetProtection/>
  <mergeCells count="125"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T5:T6"/>
    <mergeCell ref="O5:O6"/>
    <mergeCell ref="P5:P6"/>
    <mergeCell ref="Q5:Q6"/>
    <mergeCell ref="R5:R6"/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A7:A10"/>
    <mergeCell ref="B7:B10"/>
    <mergeCell ref="C7:C10"/>
    <mergeCell ref="D7:D10"/>
    <mergeCell ref="G7:G9"/>
    <mergeCell ref="H7:H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M11:M14"/>
    <mergeCell ref="N11:N14"/>
    <mergeCell ref="O11:O14"/>
    <mergeCell ref="P11:P14"/>
    <mergeCell ref="Q11:Q14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U16:U19"/>
    <mergeCell ref="O16:O19"/>
    <mergeCell ref="P16:P19"/>
    <mergeCell ref="Q16:Q19"/>
    <mergeCell ref="R16:R19"/>
    <mergeCell ref="S16:S19"/>
    <mergeCell ref="T16:T19"/>
    <mergeCell ref="A16:A20"/>
    <mergeCell ref="B16:B20"/>
    <mergeCell ref="C16:C20"/>
    <mergeCell ref="D16:D20"/>
    <mergeCell ref="G16:G19"/>
    <mergeCell ref="H16:H19"/>
    <mergeCell ref="S21:S24"/>
    <mergeCell ref="T21:T24"/>
    <mergeCell ref="U21:U24"/>
    <mergeCell ref="J21:J24"/>
    <mergeCell ref="K21:K24"/>
    <mergeCell ref="R11:R14"/>
    <mergeCell ref="S11:S14"/>
    <mergeCell ref="T11:T14"/>
    <mergeCell ref="U11:U14"/>
    <mergeCell ref="L11:L14"/>
    <mergeCell ref="N16:N19"/>
    <mergeCell ref="R21:R24"/>
    <mergeCell ref="O21:O24"/>
    <mergeCell ref="P21:P24"/>
    <mergeCell ref="Q21:Q24"/>
    <mergeCell ref="N21:N24"/>
    <mergeCell ref="H21:H24"/>
    <mergeCell ref="J16:J19"/>
    <mergeCell ref="K16:K19"/>
    <mergeCell ref="L16:L19"/>
    <mergeCell ref="M16:M19"/>
    <mergeCell ref="I16:I19"/>
    <mergeCell ref="I21:I24"/>
    <mergeCell ref="K28:K29"/>
    <mergeCell ref="A26:D26"/>
    <mergeCell ref="A27:E27"/>
    <mergeCell ref="L21:L24"/>
    <mergeCell ref="M21:M24"/>
    <mergeCell ref="A21:A25"/>
    <mergeCell ref="B21:B25"/>
    <mergeCell ref="C21:C25"/>
    <mergeCell ref="D21:D25"/>
    <mergeCell ref="G21:G24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8">
      <selection activeCell="H2" sqref="H1:U16384"/>
    </sheetView>
  </sheetViews>
  <sheetFormatPr defaultColWidth="9.00390625" defaultRowHeight="15"/>
  <cols>
    <col min="1" max="5" width="22.57421875" style="74" customWidth="1"/>
    <col min="6" max="6" width="5.57421875" style="74" bestFit="1" customWidth="1"/>
    <col min="7" max="7" width="4.57421875" style="74" customWidth="1"/>
    <col min="8" max="8" width="8.421875" style="74" customWidth="1"/>
    <col min="9" max="9" width="3.421875" style="74" customWidth="1"/>
    <col min="10" max="11" width="3.57421875" style="74" customWidth="1"/>
    <col min="12" max="12" width="4.00390625" style="74" customWidth="1"/>
    <col min="13" max="13" width="3.57421875" style="74" customWidth="1"/>
    <col min="14" max="14" width="3.421875" style="74" customWidth="1"/>
    <col min="15" max="15" width="4.00390625" style="74" customWidth="1"/>
    <col min="16" max="16" width="3.57421875" style="74" customWidth="1"/>
    <col min="17" max="17" width="3.421875" style="74" customWidth="1"/>
    <col min="18" max="18" width="4.00390625" style="74" customWidth="1"/>
    <col min="19" max="19" width="3.421875" style="74" customWidth="1"/>
    <col min="20" max="20" width="3.140625" style="74" customWidth="1"/>
    <col min="21" max="21" width="8.421875" style="74" customWidth="1"/>
    <col min="22" max="16384" width="9.00390625" style="74" customWidth="1"/>
  </cols>
  <sheetData>
    <row r="1" spans="1:21" ht="21.75">
      <c r="A1" s="1662" t="s">
        <v>360</v>
      </c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1662"/>
      <c r="T1" s="1662"/>
      <c r="U1" s="1662"/>
    </row>
    <row r="2" spans="1:5" ht="21.75">
      <c r="A2" s="394" t="s">
        <v>361</v>
      </c>
      <c r="B2" s="394"/>
      <c r="C2" s="394"/>
      <c r="D2" s="394"/>
      <c r="E2" s="346"/>
    </row>
    <row r="3" spans="1:5" ht="21.75">
      <c r="A3" s="407" t="s">
        <v>362</v>
      </c>
      <c r="B3" s="407"/>
      <c r="C3" s="407"/>
      <c r="D3" s="407"/>
      <c r="E3" s="346"/>
    </row>
    <row r="4" spans="1:21" ht="21.75">
      <c r="A4" s="1744" t="s">
        <v>44</v>
      </c>
      <c r="B4" s="1744" t="s">
        <v>45</v>
      </c>
      <c r="C4" s="1744" t="s">
        <v>46</v>
      </c>
      <c r="D4" s="1744" t="s">
        <v>47</v>
      </c>
      <c r="E4" s="1749" t="s">
        <v>48</v>
      </c>
      <c r="F4" s="1750"/>
      <c r="G4" s="1751"/>
      <c r="H4" s="1744" t="s">
        <v>49</v>
      </c>
      <c r="I4" s="1749" t="s">
        <v>50</v>
      </c>
      <c r="J4" s="1750"/>
      <c r="K4" s="1750"/>
      <c r="L4" s="1750"/>
      <c r="M4" s="1750"/>
      <c r="N4" s="1750"/>
      <c r="O4" s="1750"/>
      <c r="P4" s="1750"/>
      <c r="Q4" s="1750"/>
      <c r="R4" s="1750"/>
      <c r="S4" s="1750"/>
      <c r="T4" s="1751"/>
      <c r="U4" s="1744" t="s">
        <v>153</v>
      </c>
    </row>
    <row r="5" spans="1:21" ht="18.75">
      <c r="A5" s="1748"/>
      <c r="B5" s="1748"/>
      <c r="C5" s="1748"/>
      <c r="D5" s="1748"/>
      <c r="E5" s="1744" t="s">
        <v>52</v>
      </c>
      <c r="F5" s="1746" t="s">
        <v>53</v>
      </c>
      <c r="G5" s="1746" t="s">
        <v>54</v>
      </c>
      <c r="H5" s="1748"/>
      <c r="I5" s="1744" t="s">
        <v>55</v>
      </c>
      <c r="J5" s="1744" t="s">
        <v>56</v>
      </c>
      <c r="K5" s="1744" t="s">
        <v>57</v>
      </c>
      <c r="L5" s="1744" t="s">
        <v>58</v>
      </c>
      <c r="M5" s="1744" t="s">
        <v>59</v>
      </c>
      <c r="N5" s="1744" t="s">
        <v>60</v>
      </c>
      <c r="O5" s="1744" t="s">
        <v>61</v>
      </c>
      <c r="P5" s="1744" t="s">
        <v>62</v>
      </c>
      <c r="Q5" s="1744" t="s">
        <v>63</v>
      </c>
      <c r="R5" s="1744" t="s">
        <v>64</v>
      </c>
      <c r="S5" s="1744" t="s">
        <v>65</v>
      </c>
      <c r="T5" s="1744" t="s">
        <v>66</v>
      </c>
      <c r="U5" s="1748"/>
    </row>
    <row r="6" spans="1:21" ht="18.75">
      <c r="A6" s="1745"/>
      <c r="B6" s="1745"/>
      <c r="C6" s="1745"/>
      <c r="D6" s="1745"/>
      <c r="E6" s="1745"/>
      <c r="F6" s="1747"/>
      <c r="G6" s="1747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5"/>
      <c r="S6" s="1745"/>
      <c r="T6" s="1745"/>
      <c r="U6" s="1745"/>
    </row>
    <row r="7" spans="1:21" s="29" customFormat="1" ht="65.25">
      <c r="A7" s="1398" t="s">
        <v>363</v>
      </c>
      <c r="B7" s="1446" t="s">
        <v>364</v>
      </c>
      <c r="C7" s="1446" t="s">
        <v>365</v>
      </c>
      <c r="D7" s="1446" t="s">
        <v>366</v>
      </c>
      <c r="E7" s="460" t="s">
        <v>367</v>
      </c>
      <c r="F7" s="461">
        <v>7200</v>
      </c>
      <c r="G7" s="1741" t="s">
        <v>77</v>
      </c>
      <c r="H7" s="1724" t="s">
        <v>368</v>
      </c>
      <c r="I7" s="1443"/>
      <c r="J7" s="1446"/>
      <c r="K7" s="1424"/>
      <c r="L7" s="1718">
        <v>15800</v>
      </c>
      <c r="M7" s="1507"/>
      <c r="N7" s="1424"/>
      <c r="O7" s="1424"/>
      <c r="P7" s="1718">
        <v>15800</v>
      </c>
      <c r="Q7" s="1424"/>
      <c r="R7" s="142"/>
      <c r="S7" s="1424"/>
      <c r="T7" s="1424"/>
      <c r="U7" s="1424" t="s">
        <v>369</v>
      </c>
    </row>
    <row r="8" spans="1:21" s="29" customFormat="1" ht="65.25">
      <c r="A8" s="1411"/>
      <c r="B8" s="1447"/>
      <c r="C8" s="1447"/>
      <c r="D8" s="1447"/>
      <c r="E8" s="460" t="s">
        <v>370</v>
      </c>
      <c r="F8" s="461">
        <v>14400</v>
      </c>
      <c r="G8" s="1742"/>
      <c r="H8" s="1725"/>
      <c r="I8" s="1444"/>
      <c r="J8" s="1447"/>
      <c r="K8" s="1425"/>
      <c r="L8" s="1719"/>
      <c r="M8" s="1740"/>
      <c r="N8" s="1425"/>
      <c r="O8" s="1425"/>
      <c r="P8" s="1719"/>
      <c r="Q8" s="1425"/>
      <c r="R8" s="142"/>
      <c r="S8" s="1425"/>
      <c r="T8" s="1425"/>
      <c r="U8" s="1425"/>
    </row>
    <row r="9" spans="1:21" s="29" customFormat="1" ht="43.5">
      <c r="A9" s="1411"/>
      <c r="B9" s="1447"/>
      <c r="C9" s="1447"/>
      <c r="D9" s="1447"/>
      <c r="E9" s="460" t="s">
        <v>371</v>
      </c>
      <c r="F9" s="461">
        <v>10000</v>
      </c>
      <c r="G9" s="1742"/>
      <c r="H9" s="1725"/>
      <c r="I9" s="1444"/>
      <c r="J9" s="1447"/>
      <c r="K9" s="1425"/>
      <c r="L9" s="1719"/>
      <c r="M9" s="1740"/>
      <c r="N9" s="1425"/>
      <c r="O9" s="1425"/>
      <c r="P9" s="1719"/>
      <c r="Q9" s="1425"/>
      <c r="R9" s="142"/>
      <c r="S9" s="1425"/>
      <c r="T9" s="1425"/>
      <c r="U9" s="1425"/>
    </row>
    <row r="10" spans="1:21" s="29" customFormat="1" ht="21.75">
      <c r="A10" s="1399"/>
      <c r="B10" s="1506"/>
      <c r="C10" s="1506"/>
      <c r="D10" s="1506"/>
      <c r="E10" s="460" t="s">
        <v>4</v>
      </c>
      <c r="F10" s="461">
        <f>SUM(F7:F9)</f>
        <v>31600</v>
      </c>
      <c r="G10" s="1743"/>
      <c r="H10" s="1726"/>
      <c r="I10" s="1445"/>
      <c r="J10" s="1506"/>
      <c r="K10" s="1505"/>
      <c r="L10" s="1720"/>
      <c r="M10" s="1508"/>
      <c r="N10" s="1505"/>
      <c r="O10" s="1505"/>
      <c r="P10" s="1720"/>
      <c r="Q10" s="1505"/>
      <c r="R10" s="142"/>
      <c r="S10" s="1505"/>
      <c r="T10" s="1505"/>
      <c r="U10" s="1505"/>
    </row>
    <row r="11" spans="1:21" s="29" customFormat="1" ht="43.5">
      <c r="A11" s="274" t="s">
        <v>372</v>
      </c>
      <c r="B11" s="1446" t="s">
        <v>373</v>
      </c>
      <c r="C11" s="1446" t="s">
        <v>365</v>
      </c>
      <c r="D11" s="1446" t="s">
        <v>374</v>
      </c>
      <c r="E11" s="1736" t="s">
        <v>375</v>
      </c>
      <c r="F11" s="1738">
        <v>1200</v>
      </c>
      <c r="G11" s="1727" t="s">
        <v>77</v>
      </c>
      <c r="H11" s="1733" t="s">
        <v>376</v>
      </c>
      <c r="I11" s="1446"/>
      <c r="J11" s="1446"/>
      <c r="K11" s="1718">
        <v>300</v>
      </c>
      <c r="L11" s="1424"/>
      <c r="M11" s="1424"/>
      <c r="N11" s="1718">
        <v>300</v>
      </c>
      <c r="O11" s="1424"/>
      <c r="P11" s="1424"/>
      <c r="Q11" s="1718">
        <v>300</v>
      </c>
      <c r="R11" s="1424"/>
      <c r="S11" s="1718">
        <v>300</v>
      </c>
      <c r="T11" s="1424"/>
      <c r="U11" s="1424" t="s">
        <v>369</v>
      </c>
    </row>
    <row r="12" spans="1:21" s="29" customFormat="1" ht="21.75">
      <c r="A12" s="273"/>
      <c r="B12" s="1447"/>
      <c r="C12" s="1447"/>
      <c r="D12" s="1447"/>
      <c r="E12" s="1737"/>
      <c r="F12" s="1739"/>
      <c r="G12" s="1728"/>
      <c r="H12" s="1734"/>
      <c r="I12" s="1447"/>
      <c r="J12" s="1447"/>
      <c r="K12" s="1719"/>
      <c r="L12" s="1425"/>
      <c r="M12" s="1425"/>
      <c r="N12" s="1719"/>
      <c r="O12" s="1425"/>
      <c r="P12" s="1425"/>
      <c r="Q12" s="1719"/>
      <c r="R12" s="1425"/>
      <c r="S12" s="1719"/>
      <c r="T12" s="1425"/>
      <c r="U12" s="1425"/>
    </row>
    <row r="13" spans="1:21" s="29" customFormat="1" ht="21.75">
      <c r="A13" s="156"/>
      <c r="B13" s="1506"/>
      <c r="C13" s="1506"/>
      <c r="D13" s="1506"/>
      <c r="E13" s="462" t="s">
        <v>4</v>
      </c>
      <c r="F13" s="463">
        <f>SUM(F11:F12)</f>
        <v>1200</v>
      </c>
      <c r="G13" s="1729"/>
      <c r="H13" s="1735"/>
      <c r="I13" s="1506"/>
      <c r="J13" s="1506"/>
      <c r="K13" s="1720"/>
      <c r="L13" s="1505"/>
      <c r="M13" s="1505"/>
      <c r="N13" s="1720"/>
      <c r="O13" s="1505"/>
      <c r="P13" s="1505"/>
      <c r="Q13" s="1720"/>
      <c r="R13" s="1505"/>
      <c r="S13" s="1720"/>
      <c r="T13" s="1505"/>
      <c r="U13" s="1505"/>
    </row>
    <row r="14" spans="1:21" s="29" customFormat="1" ht="65.25">
      <c r="A14" s="1398" t="s">
        <v>377</v>
      </c>
      <c r="B14" s="1446" t="s">
        <v>378</v>
      </c>
      <c r="C14" s="1446" t="s">
        <v>365</v>
      </c>
      <c r="D14" s="1446" t="s">
        <v>366</v>
      </c>
      <c r="E14" s="462" t="s">
        <v>379</v>
      </c>
      <c r="F14" s="461">
        <v>3600</v>
      </c>
      <c r="G14" s="1727" t="s">
        <v>77</v>
      </c>
      <c r="H14" s="1730" t="s">
        <v>380</v>
      </c>
      <c r="I14" s="1446"/>
      <c r="J14" s="1446"/>
      <c r="K14" s="1424"/>
      <c r="L14" s="1424"/>
      <c r="M14" s="464">
        <v>15800</v>
      </c>
      <c r="N14" s="1424"/>
      <c r="O14" s="1424"/>
      <c r="P14" s="1424"/>
      <c r="Q14" s="1424"/>
      <c r="R14" s="1424"/>
      <c r="S14" s="1424"/>
      <c r="T14" s="1424"/>
      <c r="U14" s="1424" t="s">
        <v>369</v>
      </c>
    </row>
    <row r="15" spans="1:21" s="29" customFormat="1" ht="65.25">
      <c r="A15" s="1411"/>
      <c r="B15" s="1447"/>
      <c r="C15" s="1447"/>
      <c r="D15" s="1447"/>
      <c r="E15" s="462" t="s">
        <v>381</v>
      </c>
      <c r="F15" s="461">
        <v>7200</v>
      </c>
      <c r="G15" s="1728"/>
      <c r="H15" s="1731"/>
      <c r="I15" s="1447"/>
      <c r="J15" s="1447"/>
      <c r="K15" s="1425"/>
      <c r="L15" s="1425"/>
      <c r="M15" s="465"/>
      <c r="N15" s="1425"/>
      <c r="O15" s="1425"/>
      <c r="P15" s="1425"/>
      <c r="Q15" s="1425"/>
      <c r="R15" s="1425"/>
      <c r="S15" s="1425"/>
      <c r="T15" s="1425"/>
      <c r="U15" s="1425"/>
    </row>
    <row r="16" spans="1:21" s="29" customFormat="1" ht="43.5">
      <c r="A16" s="1411"/>
      <c r="B16" s="1447"/>
      <c r="C16" s="1447"/>
      <c r="D16" s="1447"/>
      <c r="E16" s="462" t="s">
        <v>382</v>
      </c>
      <c r="F16" s="461">
        <v>5000</v>
      </c>
      <c r="G16" s="1728"/>
      <c r="H16" s="1731"/>
      <c r="I16" s="1447"/>
      <c r="J16" s="1447"/>
      <c r="K16" s="1425"/>
      <c r="L16" s="1425"/>
      <c r="M16" s="465"/>
      <c r="N16" s="1425"/>
      <c r="O16" s="1425"/>
      <c r="P16" s="1425"/>
      <c r="Q16" s="1425"/>
      <c r="R16" s="1425"/>
      <c r="S16" s="1425"/>
      <c r="T16" s="1425"/>
      <c r="U16" s="1425"/>
    </row>
    <row r="17" spans="1:21" s="29" customFormat="1" ht="21.75">
      <c r="A17" s="1399"/>
      <c r="B17" s="1506"/>
      <c r="C17" s="1506"/>
      <c r="D17" s="1506"/>
      <c r="E17" s="462" t="s">
        <v>4</v>
      </c>
      <c r="F17" s="461">
        <f>SUM(F14:F16)</f>
        <v>15800</v>
      </c>
      <c r="G17" s="1729"/>
      <c r="H17" s="1732"/>
      <c r="I17" s="1506"/>
      <c r="J17" s="1506"/>
      <c r="K17" s="1505"/>
      <c r="L17" s="1505"/>
      <c r="M17" s="466"/>
      <c r="N17" s="1505"/>
      <c r="O17" s="1505"/>
      <c r="P17" s="1505"/>
      <c r="Q17" s="1505"/>
      <c r="R17" s="1505"/>
      <c r="S17" s="1505"/>
      <c r="T17" s="1505"/>
      <c r="U17" s="1505"/>
    </row>
    <row r="18" spans="1:21" ht="18.75">
      <c r="A18" s="1398" t="s">
        <v>383</v>
      </c>
      <c r="B18" s="1398" t="s">
        <v>384</v>
      </c>
      <c r="C18" s="1398" t="s">
        <v>385</v>
      </c>
      <c r="D18" s="1398" t="s">
        <v>386</v>
      </c>
      <c r="E18" s="1721" t="s">
        <v>387</v>
      </c>
      <c r="F18" s="1724">
        <v>1440</v>
      </c>
      <c r="G18" s="1446" t="s">
        <v>77</v>
      </c>
      <c r="H18" s="1446" t="s">
        <v>388</v>
      </c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>
        <v>1440</v>
      </c>
      <c r="T18" s="1424"/>
      <c r="U18" s="1443" t="s">
        <v>369</v>
      </c>
    </row>
    <row r="19" spans="1:21" ht="18.75">
      <c r="A19" s="1411"/>
      <c r="B19" s="1411"/>
      <c r="C19" s="1411"/>
      <c r="D19" s="1411"/>
      <c r="E19" s="1722"/>
      <c r="F19" s="1725"/>
      <c r="G19" s="1447"/>
      <c r="H19" s="1447"/>
      <c r="I19" s="1425"/>
      <c r="J19" s="1425"/>
      <c r="K19" s="1425"/>
      <c r="L19" s="1425"/>
      <c r="M19" s="1425"/>
      <c r="N19" s="1425"/>
      <c r="O19" s="1425"/>
      <c r="P19" s="1425"/>
      <c r="Q19" s="1425"/>
      <c r="R19" s="1425"/>
      <c r="S19" s="1425"/>
      <c r="T19" s="1425"/>
      <c r="U19" s="1444"/>
    </row>
    <row r="20" spans="1:21" ht="18.75">
      <c r="A20" s="1411"/>
      <c r="B20" s="1411"/>
      <c r="C20" s="1411"/>
      <c r="D20" s="1411"/>
      <c r="E20" s="1723"/>
      <c r="F20" s="1726"/>
      <c r="G20" s="1506"/>
      <c r="H20" s="1506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445"/>
    </row>
    <row r="21" spans="1:21" ht="21.75">
      <c r="A21" s="1399"/>
      <c r="B21" s="1399"/>
      <c r="C21" s="1399"/>
      <c r="D21" s="1399"/>
      <c r="E21" s="467" t="s">
        <v>4</v>
      </c>
      <c r="F21" s="420">
        <f>SUM(F18:F20)</f>
        <v>1440</v>
      </c>
      <c r="G21" s="259"/>
      <c r="H21" s="259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259"/>
    </row>
    <row r="22" spans="1:21" ht="18.75">
      <c r="A22" s="1526" t="s">
        <v>389</v>
      </c>
      <c r="B22" s="1398" t="s">
        <v>390</v>
      </c>
      <c r="C22" s="1398" t="s">
        <v>391</v>
      </c>
      <c r="D22" s="1398" t="s">
        <v>392</v>
      </c>
      <c r="E22" s="1721" t="s">
        <v>393</v>
      </c>
      <c r="F22" s="1724">
        <v>8640</v>
      </c>
      <c r="G22" s="1446" t="s">
        <v>77</v>
      </c>
      <c r="H22" s="1446" t="s">
        <v>394</v>
      </c>
      <c r="I22" s="1424"/>
      <c r="J22" s="1424"/>
      <c r="K22" s="1718">
        <v>4320</v>
      </c>
      <c r="L22" s="1424"/>
      <c r="M22" s="1424"/>
      <c r="N22" s="1424"/>
      <c r="O22" s="1424"/>
      <c r="P22" s="1424"/>
      <c r="Q22" s="1424"/>
      <c r="R22" s="1718">
        <v>4320</v>
      </c>
      <c r="S22" s="1424"/>
      <c r="T22" s="1424"/>
      <c r="U22" s="1443" t="s">
        <v>369</v>
      </c>
    </row>
    <row r="23" spans="1:21" ht="18.75">
      <c r="A23" s="1527"/>
      <c r="B23" s="1411"/>
      <c r="C23" s="1411"/>
      <c r="D23" s="1411"/>
      <c r="E23" s="1722"/>
      <c r="F23" s="1725"/>
      <c r="G23" s="1447"/>
      <c r="H23" s="1447"/>
      <c r="I23" s="1425"/>
      <c r="J23" s="1425"/>
      <c r="K23" s="1719"/>
      <c r="L23" s="1425"/>
      <c r="M23" s="1425"/>
      <c r="N23" s="1425"/>
      <c r="O23" s="1425"/>
      <c r="P23" s="1425"/>
      <c r="Q23" s="1425"/>
      <c r="R23" s="1719"/>
      <c r="S23" s="1425"/>
      <c r="T23" s="1425"/>
      <c r="U23" s="1444"/>
    </row>
    <row r="24" spans="1:21" ht="18.75">
      <c r="A24" s="1527"/>
      <c r="B24" s="1411"/>
      <c r="C24" s="1411"/>
      <c r="D24" s="1411"/>
      <c r="E24" s="1723"/>
      <c r="F24" s="1726"/>
      <c r="G24" s="1506"/>
      <c r="H24" s="1506"/>
      <c r="I24" s="1505"/>
      <c r="J24" s="1505"/>
      <c r="K24" s="1720"/>
      <c r="L24" s="1505"/>
      <c r="M24" s="1505"/>
      <c r="N24" s="1505"/>
      <c r="O24" s="1505"/>
      <c r="P24" s="1505"/>
      <c r="Q24" s="1505"/>
      <c r="R24" s="1720"/>
      <c r="S24" s="1505"/>
      <c r="T24" s="1505"/>
      <c r="U24" s="1445"/>
    </row>
    <row r="25" spans="1:21" ht="21.75">
      <c r="A25" s="1528"/>
      <c r="B25" s="1399"/>
      <c r="C25" s="1399"/>
      <c r="D25" s="1399"/>
      <c r="E25" s="419" t="s">
        <v>4</v>
      </c>
      <c r="F25" s="420">
        <f>SUM(F22:F24)</f>
        <v>8640</v>
      </c>
      <c r="G25" s="259"/>
      <c r="H25" s="259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259"/>
    </row>
    <row r="26" spans="1:21" s="29" customFormat="1" ht="52.5">
      <c r="A26" s="142"/>
      <c r="B26" s="142"/>
      <c r="C26" s="142"/>
      <c r="D26" s="142"/>
      <c r="E26" s="469" t="s">
        <v>139</v>
      </c>
      <c r="F26" s="424">
        <v>58680</v>
      </c>
      <c r="G26" s="426"/>
      <c r="H26" s="426"/>
      <c r="I26" s="468">
        <f>SUM(I7:I17)</f>
        <v>0</v>
      </c>
      <c r="J26" s="468">
        <f>SUM(J7:J17)</f>
        <v>0</v>
      </c>
      <c r="K26" s="468">
        <v>4620</v>
      </c>
      <c r="L26" s="468">
        <f aca="true" t="shared" si="0" ref="L26:Q26">SUM(L7:L17)</f>
        <v>15800</v>
      </c>
      <c r="M26" s="468">
        <f t="shared" si="0"/>
        <v>15800</v>
      </c>
      <c r="N26" s="468">
        <f t="shared" si="0"/>
        <v>300</v>
      </c>
      <c r="O26" s="468">
        <f t="shared" si="0"/>
        <v>0</v>
      </c>
      <c r="P26" s="468">
        <f t="shared" si="0"/>
        <v>15800</v>
      </c>
      <c r="Q26" s="468">
        <f t="shared" si="0"/>
        <v>300</v>
      </c>
      <c r="R26" s="468">
        <v>4320</v>
      </c>
      <c r="S26" s="468">
        <v>1740</v>
      </c>
      <c r="T26" s="468">
        <f>SUM(T7:T17)</f>
        <v>0</v>
      </c>
      <c r="U26" s="426"/>
    </row>
  </sheetData>
  <sheetProtection/>
  <mergeCells count="122">
    <mergeCell ref="S5:S6"/>
    <mergeCell ref="T5:T6"/>
    <mergeCell ref="N5:N6"/>
    <mergeCell ref="O5:O6"/>
    <mergeCell ref="P5:P6"/>
    <mergeCell ref="Q5:Q6"/>
    <mergeCell ref="R5:R6"/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K7:K10"/>
    <mergeCell ref="A7:A10"/>
    <mergeCell ref="B7:B10"/>
    <mergeCell ref="C7:C10"/>
    <mergeCell ref="D7:D10"/>
    <mergeCell ref="G7:G10"/>
    <mergeCell ref="H7:H10"/>
    <mergeCell ref="U11:U13"/>
    <mergeCell ref="O11:O13"/>
    <mergeCell ref="P11:P13"/>
    <mergeCell ref="Q11:Q13"/>
    <mergeCell ref="R11:R13"/>
    <mergeCell ref="S11:S13"/>
    <mergeCell ref="O7:O10"/>
    <mergeCell ref="P7:P10"/>
    <mergeCell ref="Q7:Q10"/>
    <mergeCell ref="T11:T13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L7:L10"/>
    <mergeCell ref="M7:M10"/>
    <mergeCell ref="N7:N10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K14:K17"/>
    <mergeCell ref="A14:A17"/>
    <mergeCell ref="B14:B17"/>
    <mergeCell ref="C14:C17"/>
    <mergeCell ref="D14:D17"/>
    <mergeCell ref="G14:G17"/>
    <mergeCell ref="H14:H17"/>
    <mergeCell ref="T18:T20"/>
    <mergeCell ref="U18:U20"/>
    <mergeCell ref="O18:O20"/>
    <mergeCell ref="P18:P20"/>
    <mergeCell ref="Q18:Q20"/>
    <mergeCell ref="R18:R20"/>
    <mergeCell ref="O14:O17"/>
    <mergeCell ref="P14:P17"/>
    <mergeCell ref="Q14:Q17"/>
    <mergeCell ref="R14:R17"/>
    <mergeCell ref="S18:S20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L14:L17"/>
    <mergeCell ref="N14:N17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H22:H24"/>
    <mergeCell ref="A22:A25"/>
    <mergeCell ref="B22:B25"/>
    <mergeCell ref="C22:C25"/>
    <mergeCell ref="D22:D25"/>
    <mergeCell ref="E22:E24"/>
    <mergeCell ref="F22:F24"/>
    <mergeCell ref="I22:I24"/>
    <mergeCell ref="J22:J24"/>
    <mergeCell ref="K22:K24"/>
    <mergeCell ref="L22:L24"/>
    <mergeCell ref="M22:M24"/>
    <mergeCell ref="T22:T24"/>
    <mergeCell ref="U22:U24"/>
    <mergeCell ref="N22:N24"/>
    <mergeCell ref="O22:O24"/>
    <mergeCell ref="P22:P24"/>
    <mergeCell ref="Q22:Q24"/>
    <mergeCell ref="R22:R24"/>
    <mergeCell ref="S22:S24"/>
  </mergeCells>
  <printOptions/>
  <pageMargins left="0.25" right="0.25" top="0.75" bottom="0.75" header="0.3" footer="0.3"/>
  <pageSetup fitToHeight="0" fitToWidth="1" horizontalDpi="300" verticalDpi="3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SheetLayoutView="70" zoomScalePageLayoutView="0" workbookViewId="0" topLeftCell="A30">
      <selection activeCell="C34" sqref="C34:C35"/>
    </sheetView>
  </sheetViews>
  <sheetFormatPr defaultColWidth="9.140625" defaultRowHeight="15"/>
  <cols>
    <col min="1" max="5" width="22.57421875" style="0" customWidth="1"/>
    <col min="6" max="6" width="8.421875" style="0" bestFit="1" customWidth="1"/>
    <col min="7" max="7" width="4.421875" style="0" customWidth="1"/>
    <col min="8" max="8" width="10.8515625" style="162" customWidth="1"/>
    <col min="9" max="20" width="4.00390625" style="163" customWidth="1"/>
    <col min="21" max="21" width="8.57421875" style="163" customWidth="1"/>
  </cols>
  <sheetData>
    <row r="1" spans="1:21" ht="24">
      <c r="A1" s="1309" t="s">
        <v>1001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5" ht="24">
      <c r="A2" s="1310" t="s">
        <v>1002</v>
      </c>
      <c r="B2" s="1310"/>
      <c r="C2" s="1310"/>
      <c r="D2" s="1310"/>
      <c r="E2" s="28"/>
    </row>
    <row r="3" spans="1:5" ht="24" customHeight="1">
      <c r="A3" s="1714" t="s">
        <v>1003</v>
      </c>
      <c r="B3" s="1714"/>
      <c r="C3" s="1714"/>
      <c r="D3" s="1714"/>
      <c r="E3" s="1714"/>
    </row>
    <row r="4" spans="1:21" ht="21.75">
      <c r="A4" s="1357" t="s">
        <v>44</v>
      </c>
      <c r="B4" s="1299" t="s">
        <v>45</v>
      </c>
      <c r="C4" s="1299" t="s">
        <v>46</v>
      </c>
      <c r="D4" s="1299" t="s">
        <v>47</v>
      </c>
      <c r="E4" s="1299" t="s">
        <v>48</v>
      </c>
      <c r="F4" s="1299"/>
      <c r="G4" s="1299"/>
      <c r="H4" s="1793" t="s">
        <v>49</v>
      </c>
      <c r="I4" s="1800" t="s">
        <v>50</v>
      </c>
      <c r="J4" s="1800"/>
      <c r="K4" s="1800"/>
      <c r="L4" s="1800"/>
      <c r="M4" s="1800"/>
      <c r="N4" s="1800"/>
      <c r="O4" s="1800"/>
      <c r="P4" s="1800"/>
      <c r="Q4" s="1800"/>
      <c r="R4" s="1800"/>
      <c r="S4" s="1800"/>
      <c r="T4" s="1800"/>
      <c r="U4" s="1804" t="s">
        <v>153</v>
      </c>
    </row>
    <row r="5" spans="1:21" ht="14.25" customHeight="1">
      <c r="A5" s="1362"/>
      <c r="B5" s="1299"/>
      <c r="C5" s="1299"/>
      <c r="D5" s="1299"/>
      <c r="E5" s="1357" t="s">
        <v>52</v>
      </c>
      <c r="F5" s="1359" t="s">
        <v>53</v>
      </c>
      <c r="G5" s="1361" t="s">
        <v>54</v>
      </c>
      <c r="H5" s="1793"/>
      <c r="I5" s="1800" t="s">
        <v>55</v>
      </c>
      <c r="J5" s="1800" t="s">
        <v>56</v>
      </c>
      <c r="K5" s="1800" t="s">
        <v>57</v>
      </c>
      <c r="L5" s="1800" t="s">
        <v>58</v>
      </c>
      <c r="M5" s="1800" t="s">
        <v>59</v>
      </c>
      <c r="N5" s="1800" t="s">
        <v>60</v>
      </c>
      <c r="O5" s="1800" t="s">
        <v>61</v>
      </c>
      <c r="P5" s="496" t="s">
        <v>62</v>
      </c>
      <c r="Q5" s="1800" t="s">
        <v>63</v>
      </c>
      <c r="R5" s="1800" t="s">
        <v>64</v>
      </c>
      <c r="S5" s="1800" t="s">
        <v>65</v>
      </c>
      <c r="T5" s="1800" t="s">
        <v>66</v>
      </c>
      <c r="U5" s="1805"/>
    </row>
    <row r="6" spans="1:21" ht="21.75" customHeight="1">
      <c r="A6" s="1358"/>
      <c r="B6" s="1299"/>
      <c r="C6" s="1299"/>
      <c r="D6" s="1299"/>
      <c r="E6" s="1358"/>
      <c r="F6" s="1360"/>
      <c r="G6" s="1361"/>
      <c r="H6" s="1793"/>
      <c r="I6" s="1800"/>
      <c r="J6" s="1800"/>
      <c r="K6" s="1800"/>
      <c r="L6" s="1800"/>
      <c r="M6" s="1800"/>
      <c r="N6" s="1800"/>
      <c r="O6" s="1800"/>
      <c r="P6" s="497"/>
      <c r="Q6" s="1800"/>
      <c r="R6" s="1800"/>
      <c r="S6" s="1800"/>
      <c r="T6" s="1800"/>
      <c r="U6" s="1806"/>
    </row>
    <row r="7" spans="1:21" ht="56.25">
      <c r="A7" s="1769" t="s">
        <v>1526</v>
      </c>
      <c r="B7" s="1769" t="s">
        <v>1004</v>
      </c>
      <c r="C7" s="1769" t="s">
        <v>1005</v>
      </c>
      <c r="D7" s="1769" t="s">
        <v>1006</v>
      </c>
      <c r="E7" s="243" t="s">
        <v>1007</v>
      </c>
      <c r="F7" s="498">
        <v>74400</v>
      </c>
      <c r="G7" s="1801" t="s">
        <v>77</v>
      </c>
      <c r="H7" s="1797" t="s">
        <v>1008</v>
      </c>
      <c r="I7" s="1794"/>
      <c r="J7" s="1794"/>
      <c r="K7" s="1794"/>
      <c r="L7" s="1789">
        <v>44110</v>
      </c>
      <c r="M7" s="1794"/>
      <c r="N7" s="1794"/>
      <c r="O7" s="1794"/>
      <c r="P7" s="1789">
        <v>41110</v>
      </c>
      <c r="Q7" s="1794"/>
      <c r="R7" s="1794"/>
      <c r="S7" s="1794"/>
      <c r="T7" s="1794"/>
      <c r="U7" s="1807" t="s">
        <v>1009</v>
      </c>
    </row>
    <row r="8" spans="1:21" ht="56.25">
      <c r="A8" s="1792"/>
      <c r="B8" s="1792"/>
      <c r="C8" s="1792"/>
      <c r="D8" s="1792"/>
      <c r="E8" s="243" t="s">
        <v>1010</v>
      </c>
      <c r="F8" s="499">
        <v>920</v>
      </c>
      <c r="G8" s="1802"/>
      <c r="H8" s="1798"/>
      <c r="I8" s="1795"/>
      <c r="J8" s="1795"/>
      <c r="K8" s="1795"/>
      <c r="L8" s="1790"/>
      <c r="M8" s="1795"/>
      <c r="N8" s="1795"/>
      <c r="O8" s="1795"/>
      <c r="P8" s="1790"/>
      <c r="Q8" s="1795"/>
      <c r="R8" s="1795"/>
      <c r="S8" s="1795"/>
      <c r="T8" s="1795"/>
      <c r="U8" s="1808"/>
    </row>
    <row r="9" spans="1:21" ht="56.25">
      <c r="A9" s="1792"/>
      <c r="B9" s="1792"/>
      <c r="C9" s="1792"/>
      <c r="D9" s="1792"/>
      <c r="E9" s="243" t="s">
        <v>1011</v>
      </c>
      <c r="F9" s="499">
        <v>6900</v>
      </c>
      <c r="G9" s="1802"/>
      <c r="H9" s="1798"/>
      <c r="I9" s="1795"/>
      <c r="J9" s="1795"/>
      <c r="K9" s="1795"/>
      <c r="L9" s="1790"/>
      <c r="M9" s="1795"/>
      <c r="N9" s="1795"/>
      <c r="O9" s="1795"/>
      <c r="P9" s="1790"/>
      <c r="Q9" s="1795"/>
      <c r="R9" s="1795"/>
      <c r="S9" s="1795"/>
      <c r="T9" s="1795"/>
      <c r="U9" s="1808"/>
    </row>
    <row r="10" spans="1:21" ht="21.75" customHeight="1">
      <c r="A10" s="1792"/>
      <c r="B10" s="1770"/>
      <c r="C10" s="1770"/>
      <c r="D10" s="1770"/>
      <c r="E10" s="500" t="s">
        <v>1012</v>
      </c>
      <c r="F10" s="501">
        <v>3000</v>
      </c>
      <c r="G10" s="1802"/>
      <c r="H10" s="1798"/>
      <c r="I10" s="1795"/>
      <c r="J10" s="1795"/>
      <c r="K10" s="1795"/>
      <c r="L10" s="1790"/>
      <c r="M10" s="1795"/>
      <c r="N10" s="1795"/>
      <c r="O10" s="1795"/>
      <c r="P10" s="1790"/>
      <c r="Q10" s="1795"/>
      <c r="R10" s="1795"/>
      <c r="S10" s="1795"/>
      <c r="T10" s="1795"/>
      <c r="U10" s="1808"/>
    </row>
    <row r="11" spans="1:21" ht="21.75" customHeight="1">
      <c r="A11" s="1770"/>
      <c r="B11" s="1784" t="s">
        <v>4</v>
      </c>
      <c r="C11" s="1784"/>
      <c r="D11" s="1784"/>
      <c r="E11" s="1784"/>
      <c r="F11" s="502">
        <f>SUM(F7:F10)</f>
        <v>85220</v>
      </c>
      <c r="G11" s="1803"/>
      <c r="H11" s="1799"/>
      <c r="I11" s="1796"/>
      <c r="J11" s="1796"/>
      <c r="K11" s="1796"/>
      <c r="L11" s="1791"/>
      <c r="M11" s="1796"/>
      <c r="N11" s="1796"/>
      <c r="O11" s="1796"/>
      <c r="P11" s="1791"/>
      <c r="Q11" s="1796"/>
      <c r="R11" s="1796"/>
      <c r="S11" s="1796"/>
      <c r="T11" s="1796"/>
      <c r="U11" s="1809"/>
    </row>
    <row r="12" spans="1:21" s="29" customFormat="1" ht="56.25">
      <c r="A12" s="1254" t="s">
        <v>1527</v>
      </c>
      <c r="B12" s="1786" t="s">
        <v>1013</v>
      </c>
      <c r="C12" s="1254" t="s">
        <v>1014</v>
      </c>
      <c r="D12" s="503" t="s">
        <v>1015</v>
      </c>
      <c r="E12" s="243" t="s">
        <v>1016</v>
      </c>
      <c r="F12" s="504">
        <v>9600</v>
      </c>
      <c r="G12" s="1318" t="s">
        <v>77</v>
      </c>
      <c r="H12" s="505" t="s">
        <v>1017</v>
      </c>
      <c r="I12" s="506"/>
      <c r="J12" s="507"/>
      <c r="K12" s="508"/>
      <c r="L12" s="1752">
        <v>10600</v>
      </c>
      <c r="M12" s="508"/>
      <c r="N12" s="508"/>
      <c r="O12" s="507"/>
      <c r="P12" s="1752">
        <v>10600</v>
      </c>
      <c r="Q12" s="1781"/>
      <c r="R12" s="506"/>
      <c r="S12" s="506"/>
      <c r="T12" s="1752"/>
      <c r="U12" s="1757" t="s">
        <v>1009</v>
      </c>
    </row>
    <row r="13" spans="1:21" s="29" customFormat="1" ht="75">
      <c r="A13" s="1255"/>
      <c r="B13" s="1787"/>
      <c r="C13" s="1255"/>
      <c r="D13" s="503"/>
      <c r="E13" s="243" t="s">
        <v>1018</v>
      </c>
      <c r="F13" s="504">
        <v>9600</v>
      </c>
      <c r="G13" s="1319"/>
      <c r="H13" s="509"/>
      <c r="I13" s="510"/>
      <c r="J13" s="511"/>
      <c r="K13" s="512"/>
      <c r="L13" s="1776"/>
      <c r="M13" s="512"/>
      <c r="N13" s="512"/>
      <c r="O13" s="511"/>
      <c r="P13" s="1776"/>
      <c r="Q13" s="1785"/>
      <c r="R13" s="510"/>
      <c r="S13" s="510"/>
      <c r="T13" s="1776"/>
      <c r="U13" s="1758"/>
    </row>
    <row r="14" spans="1:21" s="29" customFormat="1" ht="56.25">
      <c r="A14" s="1255"/>
      <c r="B14" s="1787"/>
      <c r="C14" s="242"/>
      <c r="D14" s="503"/>
      <c r="E14" s="513" t="s">
        <v>1019</v>
      </c>
      <c r="F14" s="514">
        <v>2000</v>
      </c>
      <c r="G14" s="1319"/>
      <c r="H14" s="515"/>
      <c r="I14" s="510"/>
      <c r="J14" s="511"/>
      <c r="K14" s="512"/>
      <c r="L14" s="1776"/>
      <c r="M14" s="512"/>
      <c r="N14" s="512"/>
      <c r="O14" s="511"/>
      <c r="P14" s="1776"/>
      <c r="Q14" s="1785"/>
      <c r="R14" s="510"/>
      <c r="S14" s="510"/>
      <c r="T14" s="1776"/>
      <c r="U14" s="1758"/>
    </row>
    <row r="15" spans="1:21" s="29" customFormat="1" ht="24.75" customHeight="1">
      <c r="A15" s="1256"/>
      <c r="B15" s="1788"/>
      <c r="C15" s="1778" t="s">
        <v>4</v>
      </c>
      <c r="D15" s="1778"/>
      <c r="E15" s="1783"/>
      <c r="F15" s="516">
        <f>SUM(F12:F14)</f>
        <v>21200</v>
      </c>
      <c r="G15" s="1322"/>
      <c r="H15" s="517"/>
      <c r="I15" s="518"/>
      <c r="J15" s="519"/>
      <c r="K15" s="520"/>
      <c r="L15" s="1753"/>
      <c r="M15" s="520"/>
      <c r="N15" s="520"/>
      <c r="O15" s="519"/>
      <c r="P15" s="1753"/>
      <c r="Q15" s="1782"/>
      <c r="R15" s="518"/>
      <c r="S15" s="518"/>
      <c r="T15" s="1753"/>
      <c r="U15" s="1759"/>
    </row>
    <row r="16" spans="1:21" s="29" customFormat="1" ht="93.75">
      <c r="A16" s="1058" t="s">
        <v>1528</v>
      </c>
      <c r="B16" s="342" t="s">
        <v>1020</v>
      </c>
      <c r="C16" s="1058" t="s">
        <v>1021</v>
      </c>
      <c r="D16" s="503" t="s">
        <v>1022</v>
      </c>
      <c r="E16" s="1044" t="s">
        <v>1023</v>
      </c>
      <c r="F16" s="504">
        <v>1200</v>
      </c>
      <c r="G16" s="1318" t="s">
        <v>77</v>
      </c>
      <c r="H16" s="524" t="s">
        <v>1024</v>
      </c>
      <c r="I16" s="506"/>
      <c r="J16" s="507"/>
      <c r="K16" s="508"/>
      <c r="L16" s="507"/>
      <c r="M16" s="508"/>
      <c r="N16" s="508"/>
      <c r="O16" s="507"/>
      <c r="P16" s="506"/>
      <c r="Q16" s="1781">
        <v>1200</v>
      </c>
      <c r="R16" s="506"/>
      <c r="S16" s="506"/>
      <c r="T16" s="506"/>
      <c r="U16" s="1757" t="s">
        <v>1009</v>
      </c>
    </row>
    <row r="17" spans="1:21" s="29" customFormat="1" ht="18.75">
      <c r="A17" s="1045"/>
      <c r="B17" s="1784" t="s">
        <v>4</v>
      </c>
      <c r="C17" s="1784"/>
      <c r="D17" s="1784"/>
      <c r="E17" s="1784"/>
      <c r="F17" s="516">
        <f>SUM(F16:F16)</f>
        <v>1200</v>
      </c>
      <c r="G17" s="1322"/>
      <c r="H17" s="517"/>
      <c r="I17" s="518"/>
      <c r="J17" s="519"/>
      <c r="K17" s="520"/>
      <c r="L17" s="519"/>
      <c r="M17" s="520"/>
      <c r="N17" s="520"/>
      <c r="O17" s="519"/>
      <c r="P17" s="518"/>
      <c r="Q17" s="1782"/>
      <c r="R17" s="518"/>
      <c r="S17" s="518"/>
      <c r="T17" s="518"/>
      <c r="U17" s="1759"/>
    </row>
    <row r="18" spans="1:21" s="29" customFormat="1" ht="18.75" customHeight="1">
      <c r="A18" s="1254" t="s">
        <v>1529</v>
      </c>
      <c r="B18" s="1254" t="s">
        <v>1025</v>
      </c>
      <c r="C18" s="1254" t="s">
        <v>1026</v>
      </c>
      <c r="D18" s="1773" t="s">
        <v>1027</v>
      </c>
      <c r="E18" s="523" t="s">
        <v>1028</v>
      </c>
      <c r="F18" s="504">
        <v>240</v>
      </c>
      <c r="G18" s="1318" t="s">
        <v>77</v>
      </c>
      <c r="H18" s="524" t="s">
        <v>1029</v>
      </c>
      <c r="I18" s="506"/>
      <c r="J18" s="507"/>
      <c r="K18" s="508"/>
      <c r="L18" s="507"/>
      <c r="M18" s="508"/>
      <c r="N18" s="1752">
        <v>7920</v>
      </c>
      <c r="O18" s="507"/>
      <c r="P18" s="506"/>
      <c r="Q18" s="525"/>
      <c r="R18" s="506"/>
      <c r="S18" s="506"/>
      <c r="T18" s="506"/>
      <c r="U18" s="1757" t="s">
        <v>1009</v>
      </c>
    </row>
    <row r="19" spans="1:21" s="29" customFormat="1" ht="37.5">
      <c r="A19" s="1255"/>
      <c r="B19" s="1255"/>
      <c r="C19" s="1255"/>
      <c r="D19" s="1774"/>
      <c r="E19" s="523" t="s">
        <v>1030</v>
      </c>
      <c r="F19" s="526">
        <v>480</v>
      </c>
      <c r="G19" s="1319"/>
      <c r="H19" s="515"/>
      <c r="I19" s="510"/>
      <c r="J19" s="511"/>
      <c r="K19" s="512"/>
      <c r="L19" s="511"/>
      <c r="M19" s="512"/>
      <c r="N19" s="1776"/>
      <c r="O19" s="511"/>
      <c r="P19" s="510"/>
      <c r="Q19" s="527"/>
      <c r="R19" s="510"/>
      <c r="S19" s="510"/>
      <c r="T19" s="510"/>
      <c r="U19" s="1758"/>
    </row>
    <row r="20" spans="1:21" s="29" customFormat="1" ht="37.5">
      <c r="A20" s="1255"/>
      <c r="B20" s="1255"/>
      <c r="C20" s="1255"/>
      <c r="D20" s="1774"/>
      <c r="E20" s="523" t="s">
        <v>1031</v>
      </c>
      <c r="F20" s="504">
        <v>3000</v>
      </c>
      <c r="G20" s="1319"/>
      <c r="H20" s="515"/>
      <c r="I20" s="510"/>
      <c r="J20" s="511"/>
      <c r="K20" s="512"/>
      <c r="L20" s="511"/>
      <c r="M20" s="512"/>
      <c r="N20" s="1776"/>
      <c r="O20" s="511"/>
      <c r="P20" s="510"/>
      <c r="Q20" s="527"/>
      <c r="R20" s="510"/>
      <c r="S20" s="510"/>
      <c r="T20" s="510"/>
      <c r="U20" s="1758"/>
    </row>
    <row r="21" spans="1:21" s="29" customFormat="1" ht="37.5">
      <c r="A21" s="1255"/>
      <c r="B21" s="1256"/>
      <c r="C21" s="1256"/>
      <c r="D21" s="1775"/>
      <c r="E21" s="523" t="s">
        <v>1032</v>
      </c>
      <c r="F21" s="504">
        <v>4200</v>
      </c>
      <c r="G21" s="1319"/>
      <c r="H21" s="515"/>
      <c r="I21" s="510"/>
      <c r="J21" s="511"/>
      <c r="K21" s="512"/>
      <c r="L21" s="511"/>
      <c r="M21" s="512"/>
      <c r="N21" s="1776"/>
      <c r="O21" s="511"/>
      <c r="P21" s="510"/>
      <c r="Q21" s="527"/>
      <c r="R21" s="510"/>
      <c r="S21" s="510"/>
      <c r="T21" s="510"/>
      <c r="U21" s="1758"/>
    </row>
    <row r="22" spans="1:21" s="29" customFormat="1" ht="18.75">
      <c r="A22" s="1256"/>
      <c r="B22" s="1777" t="s">
        <v>4</v>
      </c>
      <c r="C22" s="1778"/>
      <c r="D22" s="1778"/>
      <c r="E22" s="1778"/>
      <c r="F22" s="528">
        <f>SUM(F18:F21)</f>
        <v>7920</v>
      </c>
      <c r="G22" s="1322"/>
      <c r="H22" s="517"/>
      <c r="I22" s="518"/>
      <c r="J22" s="519"/>
      <c r="K22" s="520"/>
      <c r="L22" s="519"/>
      <c r="M22" s="520"/>
      <c r="N22" s="1753"/>
      <c r="O22" s="519"/>
      <c r="P22" s="518"/>
      <c r="Q22" s="529"/>
      <c r="R22" s="518"/>
      <c r="S22" s="518"/>
      <c r="T22" s="518"/>
      <c r="U22" s="1759"/>
    </row>
    <row r="23" spans="1:21" s="29" customFormat="1" ht="56.25">
      <c r="A23" s="1333" t="s">
        <v>1530</v>
      </c>
      <c r="B23" s="1333" t="s">
        <v>1033</v>
      </c>
      <c r="C23" s="1333" t="s">
        <v>1034</v>
      </c>
      <c r="D23" s="1780" t="s">
        <v>1035</v>
      </c>
      <c r="E23" s="530" t="s">
        <v>1036</v>
      </c>
      <c r="F23" s="345">
        <v>1200</v>
      </c>
      <c r="G23" s="1318" t="s">
        <v>77</v>
      </c>
      <c r="H23" s="531"/>
      <c r="I23" s="532"/>
      <c r="J23" s="507"/>
      <c r="K23" s="533"/>
      <c r="L23" s="507"/>
      <c r="M23" s="533"/>
      <c r="N23" s="533"/>
      <c r="O23" s="507"/>
      <c r="P23" s="1754">
        <v>16200</v>
      </c>
      <c r="Q23" s="534"/>
      <c r="R23" s="532"/>
      <c r="S23" s="532"/>
      <c r="T23" s="532"/>
      <c r="U23" s="1757" t="s">
        <v>1009</v>
      </c>
    </row>
    <row r="24" spans="1:21" s="29" customFormat="1" ht="56.25">
      <c r="A24" s="1333"/>
      <c r="B24" s="1333"/>
      <c r="C24" s="1333"/>
      <c r="D24" s="1780"/>
      <c r="E24" s="335" t="s">
        <v>1037</v>
      </c>
      <c r="F24" s="345">
        <v>15000</v>
      </c>
      <c r="G24" s="1319"/>
      <c r="H24" s="515" t="s">
        <v>1038</v>
      </c>
      <c r="I24" s="535"/>
      <c r="J24" s="511"/>
      <c r="K24" s="536"/>
      <c r="L24" s="511"/>
      <c r="M24" s="536"/>
      <c r="N24" s="536"/>
      <c r="O24" s="511"/>
      <c r="P24" s="1755"/>
      <c r="Q24" s="537"/>
      <c r="R24" s="535"/>
      <c r="S24" s="535"/>
      <c r="T24" s="535"/>
      <c r="U24" s="1758"/>
    </row>
    <row r="25" spans="1:21" s="29" customFormat="1" ht="18.75">
      <c r="A25" s="1333"/>
      <c r="B25" s="1779" t="s">
        <v>4</v>
      </c>
      <c r="C25" s="1779"/>
      <c r="D25" s="1779"/>
      <c r="E25" s="1779"/>
      <c r="F25" s="164">
        <f>SUM(F23:F24)</f>
        <v>16200</v>
      </c>
      <c r="G25" s="1319"/>
      <c r="H25" s="515"/>
      <c r="I25" s="535"/>
      <c r="J25" s="511"/>
      <c r="K25" s="536"/>
      <c r="L25" s="511"/>
      <c r="M25" s="536"/>
      <c r="N25" s="536"/>
      <c r="O25" s="511"/>
      <c r="P25" s="1755"/>
      <c r="Q25" s="535"/>
      <c r="R25" s="535"/>
      <c r="S25" s="535"/>
      <c r="T25" s="535"/>
      <c r="U25" s="1758"/>
    </row>
    <row r="26" spans="1:21" s="29" customFormat="1" ht="42.75">
      <c r="A26" s="1059"/>
      <c r="B26" s="1059"/>
      <c r="C26" s="1059"/>
      <c r="D26" s="1059"/>
      <c r="E26" s="290" t="s">
        <v>139</v>
      </c>
      <c r="F26" s="175">
        <f>SUM(F25,F22,F17,F15,F11)</f>
        <v>131740</v>
      </c>
      <c r="G26" s="357"/>
      <c r="H26" s="538"/>
      <c r="I26" s="539">
        <f aca="true" t="shared" si="0" ref="I26:T26">SUM(I7:I25)</f>
        <v>0</v>
      </c>
      <c r="J26" s="539">
        <f t="shared" si="0"/>
        <v>0</v>
      </c>
      <c r="K26" s="539">
        <f t="shared" si="0"/>
        <v>0</v>
      </c>
      <c r="L26" s="539">
        <f t="shared" si="0"/>
        <v>54710</v>
      </c>
      <c r="M26" s="539">
        <f t="shared" si="0"/>
        <v>0</v>
      </c>
      <c r="N26" s="539">
        <f t="shared" si="0"/>
        <v>7920</v>
      </c>
      <c r="O26" s="539">
        <f t="shared" si="0"/>
        <v>0</v>
      </c>
      <c r="P26" s="539">
        <f t="shared" si="0"/>
        <v>67910</v>
      </c>
      <c r="Q26" s="539">
        <f t="shared" si="0"/>
        <v>1200</v>
      </c>
      <c r="R26" s="539">
        <f t="shared" si="0"/>
        <v>0</v>
      </c>
      <c r="S26" s="539">
        <f t="shared" si="0"/>
        <v>0</v>
      </c>
      <c r="T26" s="539">
        <f t="shared" si="0"/>
        <v>0</v>
      </c>
      <c r="U26" s="540"/>
    </row>
    <row r="27" spans="1:21" ht="21.75">
      <c r="A27" s="394" t="s">
        <v>1039</v>
      </c>
      <c r="B27" s="394"/>
      <c r="C27" s="394"/>
      <c r="D27" s="394"/>
      <c r="E27" s="346"/>
      <c r="F27" s="74"/>
      <c r="G27" s="74"/>
      <c r="H27" s="541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</row>
    <row r="28" spans="1:21" s="29" customFormat="1" ht="37.5">
      <c r="A28" s="1254" t="s">
        <v>1531</v>
      </c>
      <c r="B28" s="1254" t="s">
        <v>1040</v>
      </c>
      <c r="C28" s="1254" t="s">
        <v>1041</v>
      </c>
      <c r="D28" s="1767" t="s">
        <v>1042</v>
      </c>
      <c r="E28" s="543" t="s">
        <v>1043</v>
      </c>
      <c r="F28" s="544">
        <v>30000</v>
      </c>
      <c r="G28" s="1763" t="s">
        <v>1044</v>
      </c>
      <c r="H28" s="545">
        <v>22630</v>
      </c>
      <c r="I28" s="532"/>
      <c r="J28" s="546"/>
      <c r="K28" s="1754">
        <v>45000</v>
      </c>
      <c r="L28" s="1754">
        <v>96000</v>
      </c>
      <c r="M28" s="533"/>
      <c r="N28" s="547"/>
      <c r="O28" s="507"/>
      <c r="P28" s="1754">
        <v>320000</v>
      </c>
      <c r="Q28" s="532"/>
      <c r="R28" s="548"/>
      <c r="S28" s="532"/>
      <c r="T28" s="548"/>
      <c r="U28" s="1757" t="s">
        <v>1009</v>
      </c>
    </row>
    <row r="29" spans="1:21" s="29" customFormat="1" ht="56.25">
      <c r="A29" s="1255"/>
      <c r="B29" s="1255"/>
      <c r="C29" s="1255"/>
      <c r="D29" s="1768"/>
      <c r="E29" s="549" t="s">
        <v>1045</v>
      </c>
      <c r="F29" s="550">
        <v>15000</v>
      </c>
      <c r="G29" s="1764"/>
      <c r="H29" s="551">
        <v>22661</v>
      </c>
      <c r="I29" s="552"/>
      <c r="J29" s="511"/>
      <c r="K29" s="1755"/>
      <c r="L29" s="1755"/>
      <c r="M29" s="553"/>
      <c r="N29" s="553"/>
      <c r="O29" s="511"/>
      <c r="P29" s="1755"/>
      <c r="Q29" s="552"/>
      <c r="R29" s="535"/>
      <c r="S29" s="552"/>
      <c r="T29" s="535"/>
      <c r="U29" s="1758"/>
    </row>
    <row r="30" spans="1:21" s="29" customFormat="1" ht="75">
      <c r="A30" s="1255"/>
      <c r="B30" s="1255"/>
      <c r="C30" s="1255"/>
      <c r="D30" s="1768"/>
      <c r="E30" s="549" t="s">
        <v>1046</v>
      </c>
      <c r="F30" s="550">
        <v>96000</v>
      </c>
      <c r="G30" s="1319"/>
      <c r="H30" s="521">
        <v>22786</v>
      </c>
      <c r="I30" s="535"/>
      <c r="J30" s="511"/>
      <c r="K30" s="1755"/>
      <c r="L30" s="1755"/>
      <c r="M30" s="536"/>
      <c r="N30" s="536"/>
      <c r="O30" s="511"/>
      <c r="P30" s="1755"/>
      <c r="Q30" s="535"/>
      <c r="R30" s="535"/>
      <c r="S30" s="535"/>
      <c r="T30" s="535"/>
      <c r="U30" s="1758"/>
    </row>
    <row r="31" spans="1:21" s="29" customFormat="1" ht="63">
      <c r="A31" s="1255"/>
      <c r="B31" s="1255"/>
      <c r="C31" s="1255"/>
      <c r="D31" s="1768"/>
      <c r="E31" s="171" t="s">
        <v>1047</v>
      </c>
      <c r="F31" s="550">
        <v>180000</v>
      </c>
      <c r="G31" s="1319"/>
      <c r="H31" s="515"/>
      <c r="I31" s="535"/>
      <c r="J31" s="511"/>
      <c r="K31" s="1755"/>
      <c r="L31" s="1755"/>
      <c r="M31" s="536"/>
      <c r="N31" s="536"/>
      <c r="O31" s="511"/>
      <c r="P31" s="1755"/>
      <c r="Q31" s="535"/>
      <c r="R31" s="535"/>
      <c r="S31" s="535"/>
      <c r="T31" s="535"/>
      <c r="U31" s="1758"/>
    </row>
    <row r="32" spans="1:21" s="29" customFormat="1" ht="63">
      <c r="A32" s="1255"/>
      <c r="B32" s="1256"/>
      <c r="C32" s="1255"/>
      <c r="D32" s="1768"/>
      <c r="E32" s="172" t="s">
        <v>1048</v>
      </c>
      <c r="F32" s="554">
        <v>140000</v>
      </c>
      <c r="G32" s="1319"/>
      <c r="H32" s="515"/>
      <c r="I32" s="535"/>
      <c r="J32" s="511"/>
      <c r="K32" s="1755"/>
      <c r="L32" s="1755"/>
      <c r="M32" s="536"/>
      <c r="N32" s="536"/>
      <c r="O32" s="511"/>
      <c r="P32" s="1755"/>
      <c r="Q32" s="535"/>
      <c r="R32" s="535"/>
      <c r="S32" s="535"/>
      <c r="T32" s="535"/>
      <c r="U32" s="1758"/>
    </row>
    <row r="33" spans="1:21" s="29" customFormat="1" ht="18.75">
      <c r="A33" s="1256"/>
      <c r="B33" s="1760" t="s">
        <v>4</v>
      </c>
      <c r="C33" s="1761"/>
      <c r="D33" s="1761"/>
      <c r="E33" s="1762"/>
      <c r="F33" s="173">
        <f>SUM(F28:F32)</f>
        <v>461000</v>
      </c>
      <c r="G33" s="1322"/>
      <c r="H33" s="517"/>
      <c r="I33" s="555"/>
      <c r="J33" s="519"/>
      <c r="K33" s="1756"/>
      <c r="L33" s="1756"/>
      <c r="M33" s="556"/>
      <c r="N33" s="556"/>
      <c r="O33" s="519"/>
      <c r="P33" s="1756"/>
      <c r="Q33" s="555"/>
      <c r="R33" s="555"/>
      <c r="S33" s="555"/>
      <c r="T33" s="555"/>
      <c r="U33" s="1759"/>
    </row>
    <row r="34" spans="1:21" s="29" customFormat="1" ht="56.25">
      <c r="A34" s="1254" t="s">
        <v>1532</v>
      </c>
      <c r="B34" s="1769" t="s">
        <v>1049</v>
      </c>
      <c r="C34" s="1769" t="s">
        <v>1041</v>
      </c>
      <c r="D34" s="1771" t="s">
        <v>1050</v>
      </c>
      <c r="E34" s="557" t="s">
        <v>1051</v>
      </c>
      <c r="F34" s="174">
        <v>100000</v>
      </c>
      <c r="G34" s="1318" t="s">
        <v>1044</v>
      </c>
      <c r="H34" s="558">
        <v>22692</v>
      </c>
      <c r="I34" s="555"/>
      <c r="J34" s="519"/>
      <c r="K34" s="522"/>
      <c r="L34" s="522"/>
      <c r="M34" s="1752">
        <v>100000</v>
      </c>
      <c r="N34" s="520"/>
      <c r="O34" s="519"/>
      <c r="P34" s="522"/>
      <c r="Q34" s="1752">
        <v>100000</v>
      </c>
      <c r="R34" s="555"/>
      <c r="S34" s="555"/>
      <c r="T34" s="555"/>
      <c r="U34" s="1757" t="s">
        <v>1009</v>
      </c>
    </row>
    <row r="35" spans="1:21" s="29" customFormat="1" ht="75">
      <c r="A35" s="1255"/>
      <c r="B35" s="1770"/>
      <c r="C35" s="1770"/>
      <c r="D35" s="1772"/>
      <c r="E35" s="557" t="s">
        <v>1052</v>
      </c>
      <c r="F35" s="174">
        <v>100000</v>
      </c>
      <c r="G35" s="1319"/>
      <c r="H35" s="558">
        <v>22812</v>
      </c>
      <c r="I35" s="555"/>
      <c r="J35" s="519"/>
      <c r="K35" s="522"/>
      <c r="L35" s="522"/>
      <c r="M35" s="1753"/>
      <c r="N35" s="520"/>
      <c r="O35" s="519"/>
      <c r="P35" s="522"/>
      <c r="Q35" s="1753"/>
      <c r="R35" s="555"/>
      <c r="S35" s="555"/>
      <c r="T35" s="555"/>
      <c r="U35" s="1758"/>
    </row>
    <row r="36" spans="1:21" s="29" customFormat="1" ht="18.75">
      <c r="A36" s="1765" t="s">
        <v>4</v>
      </c>
      <c r="B36" s="1766"/>
      <c r="C36" s="1766"/>
      <c r="D36" s="1766"/>
      <c r="E36" s="559"/>
      <c r="F36" s="173">
        <f>SUM(F34:F35)</f>
        <v>200000</v>
      </c>
      <c r="G36" s="1322"/>
      <c r="H36" s="517"/>
      <c r="I36" s="555"/>
      <c r="J36" s="519"/>
      <c r="K36" s="522"/>
      <c r="L36" s="522"/>
      <c r="M36" s="556"/>
      <c r="N36" s="556"/>
      <c r="O36" s="519"/>
      <c r="P36" s="522"/>
      <c r="Q36" s="555"/>
      <c r="R36" s="555"/>
      <c r="S36" s="555"/>
      <c r="T36" s="555"/>
      <c r="U36" s="1759"/>
    </row>
    <row r="37" spans="1:21" s="29" customFormat="1" ht="49.5" customHeight="1">
      <c r="A37" s="560"/>
      <c r="B37" s="561"/>
      <c r="C37" s="561"/>
      <c r="D37" s="562"/>
      <c r="E37" s="290" t="s">
        <v>139</v>
      </c>
      <c r="F37" s="175">
        <f>F36+F33</f>
        <v>661000</v>
      </c>
      <c r="G37" s="291"/>
      <c r="H37" s="563"/>
      <c r="I37" s="564">
        <f>SUM(I28:I33)</f>
        <v>0</v>
      </c>
      <c r="J37" s="564">
        <f>SUM(J28:J33)</f>
        <v>0</v>
      </c>
      <c r="K37" s="564">
        <f>SUM(K28:K33)</f>
        <v>45000</v>
      </c>
      <c r="L37" s="564">
        <f>SUM(L28:L33)</f>
        <v>96000</v>
      </c>
      <c r="M37" s="564">
        <f>SUM(M31:M36)</f>
        <v>100000</v>
      </c>
      <c r="N37" s="564">
        <f aca="true" t="shared" si="1" ref="N37:T37">SUM(N28:N33)</f>
        <v>0</v>
      </c>
      <c r="O37" s="564">
        <f t="shared" si="1"/>
        <v>0</v>
      </c>
      <c r="P37" s="564">
        <f t="shared" si="1"/>
        <v>320000</v>
      </c>
      <c r="Q37" s="564">
        <f>SUM(Q31:Q36)</f>
        <v>100000</v>
      </c>
      <c r="R37" s="564">
        <f t="shared" si="1"/>
        <v>0</v>
      </c>
      <c r="S37" s="564">
        <f t="shared" si="1"/>
        <v>0</v>
      </c>
      <c r="T37" s="564">
        <f t="shared" si="1"/>
        <v>0</v>
      </c>
      <c r="U37" s="565"/>
    </row>
    <row r="39" spans="1:21" s="168" customFormat="1" ht="18.75">
      <c r="A39" s="165"/>
      <c r="B39" s="165"/>
      <c r="C39" s="165"/>
      <c r="D39" s="166"/>
      <c r="E39" s="167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</sheetData>
  <sheetProtection/>
  <mergeCells count="94">
    <mergeCell ref="O5:O6"/>
    <mergeCell ref="N7:N11"/>
    <mergeCell ref="O7:O11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I4:T4"/>
    <mergeCell ref="U4:U6"/>
    <mergeCell ref="E5:E6"/>
    <mergeCell ref="T5:T6"/>
    <mergeCell ref="F5:F6"/>
    <mergeCell ref="G5:G6"/>
    <mergeCell ref="I5:I6"/>
    <mergeCell ref="Q5:Q6"/>
    <mergeCell ref="R5:R6"/>
    <mergeCell ref="S5:S6"/>
    <mergeCell ref="G7:G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P7:P11"/>
    <mergeCell ref="A7:A11"/>
    <mergeCell ref="B7:B10"/>
    <mergeCell ref="C7:C10"/>
    <mergeCell ref="D7:D10"/>
    <mergeCell ref="G16:G17"/>
    <mergeCell ref="Q16:Q17"/>
    <mergeCell ref="G23:G25"/>
    <mergeCell ref="T12:T15"/>
    <mergeCell ref="U12:U15"/>
    <mergeCell ref="C15:E15"/>
    <mergeCell ref="U16:U17"/>
    <mergeCell ref="B17:E17"/>
    <mergeCell ref="P12:P15"/>
    <mergeCell ref="Q12:Q15"/>
    <mergeCell ref="G18:G22"/>
    <mergeCell ref="N18:N22"/>
    <mergeCell ref="U18:U22"/>
    <mergeCell ref="B22:E22"/>
    <mergeCell ref="U23:U25"/>
    <mergeCell ref="B25:E25"/>
    <mergeCell ref="P23:P25"/>
    <mergeCell ref="D23:D24"/>
    <mergeCell ref="A18:A22"/>
    <mergeCell ref="B18:B21"/>
    <mergeCell ref="C18:C21"/>
    <mergeCell ref="D18:D21"/>
    <mergeCell ref="A23:A25"/>
    <mergeCell ref="B23:B24"/>
    <mergeCell ref="C23:C24"/>
    <mergeCell ref="G34:G36"/>
    <mergeCell ref="M34:M35"/>
    <mergeCell ref="A28:A33"/>
    <mergeCell ref="B28:B32"/>
    <mergeCell ref="C28:C32"/>
    <mergeCell ref="D28:D32"/>
    <mergeCell ref="B34:B35"/>
    <mergeCell ref="C34:C35"/>
    <mergeCell ref="D34:D35"/>
    <mergeCell ref="Q34:Q35"/>
    <mergeCell ref="A34:A35"/>
    <mergeCell ref="K28:K33"/>
    <mergeCell ref="U28:U33"/>
    <mergeCell ref="B33:E33"/>
    <mergeCell ref="L28:L33"/>
    <mergeCell ref="P28:P33"/>
    <mergeCell ref="U34:U36"/>
    <mergeCell ref="G28:G33"/>
    <mergeCell ref="A36:D3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2" manualBreakCount="2">
    <brk id="17" max="255" man="1"/>
    <brk id="2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3"/>
  <sheetViews>
    <sheetView zoomScaleSheetLayoutView="90" zoomScalePageLayoutView="0" workbookViewId="0" topLeftCell="A32">
      <selection activeCell="H2" sqref="H1:U16384"/>
    </sheetView>
  </sheetViews>
  <sheetFormatPr defaultColWidth="9.00390625" defaultRowHeight="15"/>
  <cols>
    <col min="1" max="4" width="17.00390625" style="60" customWidth="1"/>
    <col min="5" max="5" width="22.57421875" style="60" customWidth="1"/>
    <col min="6" max="6" width="11.57421875" style="60" customWidth="1"/>
    <col min="7" max="7" width="4.421875" style="60" customWidth="1"/>
    <col min="8" max="8" width="11.8515625" style="60" customWidth="1"/>
    <col min="9" max="20" width="4.421875" style="805" customWidth="1"/>
    <col min="21" max="21" width="8.57421875" style="60" customWidth="1"/>
    <col min="22" max="16384" width="9.00390625" style="60" customWidth="1"/>
  </cols>
  <sheetData>
    <row r="1" spans="1:21" ht="20.25">
      <c r="A1" s="1393" t="s">
        <v>651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</row>
    <row r="2" spans="1:21" ht="20.25">
      <c r="A2" s="1394" t="s">
        <v>652</v>
      </c>
      <c r="B2" s="1394"/>
      <c r="C2" s="1394"/>
      <c r="D2" s="1394"/>
      <c r="E2" s="235"/>
      <c r="F2" s="32"/>
      <c r="G2" s="32"/>
      <c r="H2" s="32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32"/>
    </row>
    <row r="3" spans="1:21" ht="20.25">
      <c r="A3" s="1394" t="s">
        <v>653</v>
      </c>
      <c r="B3" s="1394"/>
      <c r="C3" s="1394"/>
      <c r="D3" s="1394"/>
      <c r="E3" s="235"/>
      <c r="F3" s="32"/>
      <c r="G3" s="32"/>
      <c r="H3" s="32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32"/>
    </row>
    <row r="4" spans="1:21" ht="18.75">
      <c r="A4" s="1873" t="s">
        <v>44</v>
      </c>
      <c r="B4" s="1876" t="s">
        <v>45</v>
      </c>
      <c r="C4" s="1876" t="s">
        <v>46</v>
      </c>
      <c r="D4" s="1876" t="s">
        <v>47</v>
      </c>
      <c r="E4" s="1876" t="s">
        <v>48</v>
      </c>
      <c r="F4" s="1876"/>
      <c r="G4" s="1876"/>
      <c r="H4" s="1876" t="s">
        <v>49</v>
      </c>
      <c r="I4" s="1877" t="s">
        <v>50</v>
      </c>
      <c r="J4" s="1877"/>
      <c r="K4" s="1877"/>
      <c r="L4" s="1877"/>
      <c r="M4" s="1877"/>
      <c r="N4" s="1877"/>
      <c r="O4" s="1877"/>
      <c r="P4" s="1877"/>
      <c r="Q4" s="1877"/>
      <c r="R4" s="1877"/>
      <c r="S4" s="1877"/>
      <c r="T4" s="1877"/>
      <c r="U4" s="1873" t="s">
        <v>153</v>
      </c>
    </row>
    <row r="5" spans="1:21" ht="18.75">
      <c r="A5" s="1874"/>
      <c r="B5" s="1876"/>
      <c r="C5" s="1876"/>
      <c r="D5" s="1876"/>
      <c r="E5" s="1873" t="s">
        <v>52</v>
      </c>
      <c r="F5" s="1873" t="s">
        <v>53</v>
      </c>
      <c r="G5" s="1876" t="s">
        <v>54</v>
      </c>
      <c r="H5" s="1876"/>
      <c r="I5" s="1877" t="s">
        <v>55</v>
      </c>
      <c r="J5" s="1877" t="s">
        <v>56</v>
      </c>
      <c r="K5" s="1877" t="s">
        <v>57</v>
      </c>
      <c r="L5" s="1877" t="s">
        <v>58</v>
      </c>
      <c r="M5" s="1877" t="s">
        <v>59</v>
      </c>
      <c r="N5" s="1877" t="s">
        <v>60</v>
      </c>
      <c r="O5" s="1877" t="s">
        <v>61</v>
      </c>
      <c r="P5" s="1877" t="s">
        <v>62</v>
      </c>
      <c r="Q5" s="1877" t="s">
        <v>63</v>
      </c>
      <c r="R5" s="1877" t="s">
        <v>64</v>
      </c>
      <c r="S5" s="1877" t="s">
        <v>65</v>
      </c>
      <c r="T5" s="1877" t="s">
        <v>66</v>
      </c>
      <c r="U5" s="1874"/>
    </row>
    <row r="6" spans="1:21" ht="18.75">
      <c r="A6" s="1875"/>
      <c r="B6" s="1876"/>
      <c r="C6" s="1876"/>
      <c r="D6" s="1876"/>
      <c r="E6" s="1875"/>
      <c r="F6" s="1875"/>
      <c r="G6" s="1876"/>
      <c r="H6" s="1876"/>
      <c r="I6" s="1877"/>
      <c r="J6" s="1877"/>
      <c r="K6" s="1877"/>
      <c r="L6" s="1877"/>
      <c r="M6" s="1877"/>
      <c r="N6" s="1877"/>
      <c r="O6" s="1877"/>
      <c r="P6" s="1877"/>
      <c r="Q6" s="1877"/>
      <c r="R6" s="1877"/>
      <c r="S6" s="1877"/>
      <c r="T6" s="1877"/>
      <c r="U6" s="1875"/>
    </row>
    <row r="7" spans="1:21" ht="56.25">
      <c r="A7" s="1289" t="s">
        <v>654</v>
      </c>
      <c r="B7" s="1568" t="s">
        <v>655</v>
      </c>
      <c r="C7" s="1306" t="s">
        <v>656</v>
      </c>
      <c r="D7" s="1292" t="s">
        <v>657</v>
      </c>
      <c r="E7" s="62" t="s">
        <v>658</v>
      </c>
      <c r="F7" s="61">
        <v>6400</v>
      </c>
      <c r="G7" s="1337" t="s">
        <v>77</v>
      </c>
      <c r="H7" s="1275" t="s">
        <v>659</v>
      </c>
      <c r="I7" s="1863"/>
      <c r="J7" s="1863"/>
      <c r="K7" s="1863">
        <v>5800</v>
      </c>
      <c r="L7" s="1863"/>
      <c r="M7" s="1863"/>
      <c r="N7" s="1863"/>
      <c r="O7" s="1863"/>
      <c r="P7" s="1863">
        <v>5800</v>
      </c>
      <c r="Q7" s="1863"/>
      <c r="R7" s="1863"/>
      <c r="S7" s="1863"/>
      <c r="T7" s="1863"/>
      <c r="U7" s="1275" t="s">
        <v>660</v>
      </c>
    </row>
    <row r="8" spans="1:21" ht="56.25">
      <c r="A8" s="1290"/>
      <c r="B8" s="1569"/>
      <c r="C8" s="1307"/>
      <c r="D8" s="1292"/>
      <c r="E8" s="240" t="s">
        <v>661</v>
      </c>
      <c r="F8" s="61">
        <v>3200</v>
      </c>
      <c r="G8" s="1338"/>
      <c r="H8" s="1284"/>
      <c r="I8" s="1843"/>
      <c r="J8" s="1843"/>
      <c r="K8" s="1843"/>
      <c r="L8" s="1843"/>
      <c r="M8" s="1843"/>
      <c r="N8" s="1843"/>
      <c r="O8" s="1843"/>
      <c r="P8" s="1843"/>
      <c r="Q8" s="1843"/>
      <c r="R8" s="1843"/>
      <c r="S8" s="1843"/>
      <c r="T8" s="1843"/>
      <c r="U8" s="1284"/>
    </row>
    <row r="9" spans="1:21" ht="18.75">
      <c r="A9" s="1290"/>
      <c r="B9" s="806"/>
      <c r="C9" s="749"/>
      <c r="D9" s="1292"/>
      <c r="E9" s="240" t="s">
        <v>662</v>
      </c>
      <c r="F9" s="61">
        <v>1000</v>
      </c>
      <c r="G9" s="1338"/>
      <c r="H9" s="1284"/>
      <c r="I9" s="1843"/>
      <c r="J9" s="1843"/>
      <c r="K9" s="1843"/>
      <c r="L9" s="1843"/>
      <c r="M9" s="1843"/>
      <c r="N9" s="1843"/>
      <c r="O9" s="1843"/>
      <c r="P9" s="1843"/>
      <c r="Q9" s="1843"/>
      <c r="R9" s="1843"/>
      <c r="S9" s="1843"/>
      <c r="T9" s="1843"/>
      <c r="U9" s="1284"/>
    </row>
    <row r="10" spans="1:21" ht="18.75">
      <c r="A10" s="1290"/>
      <c r="B10" s="807"/>
      <c r="C10" s="808"/>
      <c r="D10" s="1292"/>
      <c r="E10" s="66" t="s">
        <v>208</v>
      </c>
      <c r="F10" s="809">
        <v>1000</v>
      </c>
      <c r="G10" s="1338"/>
      <c r="H10" s="1284"/>
      <c r="I10" s="1843"/>
      <c r="J10" s="1843"/>
      <c r="K10" s="1843"/>
      <c r="L10" s="1843"/>
      <c r="M10" s="1843"/>
      <c r="N10" s="1843"/>
      <c r="O10" s="1843"/>
      <c r="P10" s="1843"/>
      <c r="Q10" s="1843"/>
      <c r="R10" s="1843"/>
      <c r="S10" s="1843"/>
      <c r="T10" s="1843"/>
      <c r="U10" s="1284"/>
    </row>
    <row r="11" spans="1:21" ht="18.75">
      <c r="A11" s="1291"/>
      <c r="B11" s="810"/>
      <c r="C11" s="811"/>
      <c r="D11" s="1292"/>
      <c r="E11" s="812" t="s">
        <v>4</v>
      </c>
      <c r="F11" s="69">
        <f>SUM(F7:F10)</f>
        <v>11600</v>
      </c>
      <c r="G11" s="38"/>
      <c r="H11" s="38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38"/>
    </row>
    <row r="12" spans="1:21" ht="56.25">
      <c r="A12" s="1289" t="s">
        <v>663</v>
      </c>
      <c r="B12" s="1290" t="s">
        <v>664</v>
      </c>
      <c r="C12" s="1289" t="s">
        <v>665</v>
      </c>
      <c r="D12" s="1275" t="s">
        <v>666</v>
      </c>
      <c r="E12" s="240" t="s">
        <v>667</v>
      </c>
      <c r="F12" s="61">
        <v>1600</v>
      </c>
      <c r="G12" s="1337" t="s">
        <v>77</v>
      </c>
      <c r="H12" s="1275" t="s">
        <v>668</v>
      </c>
      <c r="I12" s="1863"/>
      <c r="J12" s="1863">
        <v>17000</v>
      </c>
      <c r="K12" s="1863"/>
      <c r="L12" s="780"/>
      <c r="M12" s="1863"/>
      <c r="N12" s="1863"/>
      <c r="O12" s="1863"/>
      <c r="P12" s="1863"/>
      <c r="Q12" s="1863">
        <v>17000</v>
      </c>
      <c r="R12" s="780"/>
      <c r="S12" s="1863"/>
      <c r="T12" s="1863"/>
      <c r="U12" s="1275" t="s">
        <v>669</v>
      </c>
    </row>
    <row r="13" spans="1:21" ht="93.75">
      <c r="A13" s="1290"/>
      <c r="B13" s="1290"/>
      <c r="C13" s="1290"/>
      <c r="D13" s="1284"/>
      <c r="E13" s="240" t="s">
        <v>670</v>
      </c>
      <c r="F13" s="61">
        <v>32400</v>
      </c>
      <c r="G13" s="1339"/>
      <c r="H13" s="1285"/>
      <c r="I13" s="1872"/>
      <c r="J13" s="1872"/>
      <c r="K13" s="1872"/>
      <c r="L13" s="780"/>
      <c r="M13" s="1872"/>
      <c r="N13" s="1872"/>
      <c r="O13" s="1872"/>
      <c r="P13" s="1872"/>
      <c r="Q13" s="1872"/>
      <c r="R13" s="780"/>
      <c r="S13" s="1872"/>
      <c r="T13" s="1872"/>
      <c r="U13" s="1285"/>
    </row>
    <row r="14" spans="1:21" s="782" customFormat="1" ht="18.75">
      <c r="A14" s="1291"/>
      <c r="B14" s="1291"/>
      <c r="C14" s="1291"/>
      <c r="D14" s="1285"/>
      <c r="E14" s="813" t="s">
        <v>4</v>
      </c>
      <c r="F14" s="814">
        <f>SUM(F12:F13)</f>
        <v>34000</v>
      </c>
      <c r="G14" s="322"/>
      <c r="H14" s="30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303"/>
    </row>
    <row r="15" spans="1:21" ht="56.25">
      <c r="A15" s="1306" t="s">
        <v>671</v>
      </c>
      <c r="B15" s="1292" t="s">
        <v>672</v>
      </c>
      <c r="C15" s="1306" t="s">
        <v>656</v>
      </c>
      <c r="D15" s="1292" t="s">
        <v>673</v>
      </c>
      <c r="E15" s="62" t="s">
        <v>658</v>
      </c>
      <c r="F15" s="61">
        <v>6400</v>
      </c>
      <c r="G15" s="1337" t="s">
        <v>77</v>
      </c>
      <c r="H15" s="1275" t="s">
        <v>674</v>
      </c>
      <c r="I15" s="1863"/>
      <c r="J15" s="1863"/>
      <c r="K15" s="783"/>
      <c r="L15" s="780"/>
      <c r="M15" s="1863">
        <v>5300</v>
      </c>
      <c r="N15" s="1863"/>
      <c r="O15" s="1863"/>
      <c r="P15" s="780"/>
      <c r="Q15" s="1863"/>
      <c r="R15" s="1863">
        <v>5300</v>
      </c>
      <c r="S15" s="1863"/>
      <c r="T15" s="1863"/>
      <c r="U15" s="1275" t="s">
        <v>675</v>
      </c>
    </row>
    <row r="16" spans="1:21" ht="56.25">
      <c r="A16" s="1307"/>
      <c r="B16" s="1292"/>
      <c r="C16" s="1307"/>
      <c r="D16" s="1292"/>
      <c r="E16" s="240" t="s">
        <v>661</v>
      </c>
      <c r="F16" s="61">
        <v>3200</v>
      </c>
      <c r="G16" s="1338"/>
      <c r="H16" s="1284"/>
      <c r="I16" s="1843"/>
      <c r="J16" s="1843"/>
      <c r="K16" s="765"/>
      <c r="L16" s="780"/>
      <c r="M16" s="1843"/>
      <c r="N16" s="1843"/>
      <c r="O16" s="1843"/>
      <c r="P16" s="780"/>
      <c r="Q16" s="1843"/>
      <c r="R16" s="1843"/>
      <c r="S16" s="1843"/>
      <c r="T16" s="1843"/>
      <c r="U16" s="1284"/>
    </row>
    <row r="17" spans="1:21" ht="18.75">
      <c r="A17" s="1307"/>
      <c r="B17" s="1292"/>
      <c r="C17" s="1307"/>
      <c r="D17" s="1292"/>
      <c r="E17" s="240" t="s">
        <v>662</v>
      </c>
      <c r="F17" s="61">
        <v>1000</v>
      </c>
      <c r="G17" s="1338"/>
      <c r="H17" s="1284"/>
      <c r="I17" s="1843"/>
      <c r="J17" s="1843"/>
      <c r="K17" s="765"/>
      <c r="L17" s="780"/>
      <c r="M17" s="1843"/>
      <c r="N17" s="1843"/>
      <c r="O17" s="1843"/>
      <c r="P17" s="780"/>
      <c r="Q17" s="1843"/>
      <c r="R17" s="1843"/>
      <c r="S17" s="1843"/>
      <c r="T17" s="1843"/>
      <c r="U17" s="1284"/>
    </row>
    <row r="18" spans="1:21" ht="18.75">
      <c r="A18" s="1307"/>
      <c r="B18" s="1292"/>
      <c r="C18" s="1307"/>
      <c r="D18" s="1292"/>
      <c r="E18" s="66" t="s">
        <v>208</v>
      </c>
      <c r="F18" s="815">
        <v>1000</v>
      </c>
      <c r="G18" s="1339"/>
      <c r="H18" s="1284"/>
      <c r="I18" s="1843"/>
      <c r="J18" s="1843"/>
      <c r="K18" s="770"/>
      <c r="L18" s="780"/>
      <c r="M18" s="1872"/>
      <c r="N18" s="1872"/>
      <c r="O18" s="1872"/>
      <c r="P18" s="780"/>
      <c r="Q18" s="1872"/>
      <c r="R18" s="1872"/>
      <c r="S18" s="1872"/>
      <c r="T18" s="1872"/>
      <c r="U18" s="1284"/>
    </row>
    <row r="19" spans="1:21" ht="18.75">
      <c r="A19" s="1308"/>
      <c r="B19" s="1292"/>
      <c r="C19" s="1308"/>
      <c r="D19" s="1292"/>
      <c r="E19" s="812" t="s">
        <v>4</v>
      </c>
      <c r="F19" s="69">
        <f>SUM(F15:F18)</f>
        <v>11600</v>
      </c>
      <c r="G19" s="38"/>
      <c r="H19" s="38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38"/>
    </row>
    <row r="20" spans="1:21" ht="56.25">
      <c r="A20" s="1855" t="s">
        <v>676</v>
      </c>
      <c r="B20" s="1855" t="s">
        <v>677</v>
      </c>
      <c r="C20" s="1855" t="s">
        <v>678</v>
      </c>
      <c r="D20" s="1855" t="s">
        <v>679</v>
      </c>
      <c r="E20" s="952" t="s">
        <v>680</v>
      </c>
      <c r="F20" s="953">
        <v>8000</v>
      </c>
      <c r="G20" s="1867" t="s">
        <v>77</v>
      </c>
      <c r="H20" s="1869">
        <v>22303</v>
      </c>
      <c r="I20" s="954"/>
      <c r="J20" s="954"/>
      <c r="K20" s="955"/>
      <c r="L20" s="1870">
        <v>25200</v>
      </c>
      <c r="M20" s="954"/>
      <c r="N20" s="954"/>
      <c r="O20" s="954"/>
      <c r="P20" s="954"/>
      <c r="Q20" s="954"/>
      <c r="R20" s="1870"/>
      <c r="S20" s="954"/>
      <c r="T20" s="954"/>
      <c r="U20" s="1813" t="s">
        <v>660</v>
      </c>
    </row>
    <row r="21" spans="1:21" ht="56.25">
      <c r="A21" s="1854"/>
      <c r="B21" s="1854"/>
      <c r="C21" s="1854"/>
      <c r="D21" s="1854"/>
      <c r="E21" s="956" t="s">
        <v>681</v>
      </c>
      <c r="F21" s="953">
        <v>8000</v>
      </c>
      <c r="G21" s="1868"/>
      <c r="H21" s="1814"/>
      <c r="I21" s="957"/>
      <c r="J21" s="957"/>
      <c r="K21" s="958"/>
      <c r="L21" s="1871"/>
      <c r="M21" s="957"/>
      <c r="N21" s="957"/>
      <c r="O21" s="957"/>
      <c r="P21" s="957"/>
      <c r="Q21" s="957"/>
      <c r="R21" s="1871"/>
      <c r="S21" s="957"/>
      <c r="T21" s="957"/>
      <c r="U21" s="1814"/>
    </row>
    <row r="22" spans="1:21" ht="18.75">
      <c r="A22" s="1854"/>
      <c r="B22" s="1854"/>
      <c r="C22" s="1854"/>
      <c r="D22" s="1854"/>
      <c r="E22" s="956" t="s">
        <v>682</v>
      </c>
      <c r="F22" s="953">
        <v>2400</v>
      </c>
      <c r="G22" s="1868"/>
      <c r="H22" s="1814"/>
      <c r="I22" s="957"/>
      <c r="J22" s="957"/>
      <c r="K22" s="958"/>
      <c r="L22" s="1871"/>
      <c r="M22" s="957"/>
      <c r="N22" s="957"/>
      <c r="O22" s="957"/>
      <c r="P22" s="957"/>
      <c r="Q22" s="957"/>
      <c r="R22" s="1871"/>
      <c r="S22" s="957"/>
      <c r="T22" s="957"/>
      <c r="U22" s="1814"/>
    </row>
    <row r="23" spans="1:21" ht="18.75">
      <c r="A23" s="1854"/>
      <c r="B23" s="1854"/>
      <c r="C23" s="1854"/>
      <c r="D23" s="1854"/>
      <c r="E23" s="959" t="s">
        <v>662</v>
      </c>
      <c r="F23" s="953">
        <v>4000</v>
      </c>
      <c r="G23" s="1868"/>
      <c r="H23" s="1814"/>
      <c r="I23" s="957"/>
      <c r="J23" s="957"/>
      <c r="K23" s="958"/>
      <c r="L23" s="1871"/>
      <c r="M23" s="957"/>
      <c r="N23" s="957"/>
      <c r="O23" s="957"/>
      <c r="P23" s="957"/>
      <c r="Q23" s="957"/>
      <c r="R23" s="1871"/>
      <c r="S23" s="957"/>
      <c r="T23" s="957"/>
      <c r="U23" s="1814"/>
    </row>
    <row r="24" spans="1:21" ht="18.75">
      <c r="A24" s="1854"/>
      <c r="B24" s="1854"/>
      <c r="C24" s="1854"/>
      <c r="D24" s="1854"/>
      <c r="E24" s="959" t="s">
        <v>208</v>
      </c>
      <c r="F24" s="953">
        <v>2000</v>
      </c>
      <c r="G24" s="960"/>
      <c r="H24" s="961"/>
      <c r="I24" s="957"/>
      <c r="J24" s="957"/>
      <c r="K24" s="962"/>
      <c r="L24" s="957"/>
      <c r="M24" s="957"/>
      <c r="N24" s="957"/>
      <c r="O24" s="957"/>
      <c r="P24" s="957"/>
      <c r="Q24" s="957"/>
      <c r="R24" s="1871"/>
      <c r="S24" s="957"/>
      <c r="T24" s="957"/>
      <c r="U24" s="1814"/>
    </row>
    <row r="25" spans="1:21" ht="18.75">
      <c r="A25" s="1854"/>
      <c r="B25" s="1854"/>
      <c r="C25" s="1854"/>
      <c r="D25" s="1854"/>
      <c r="E25" s="963" t="s">
        <v>683</v>
      </c>
      <c r="F25" s="964">
        <v>3200</v>
      </c>
      <c r="G25" s="960"/>
      <c r="H25" s="961"/>
      <c r="I25" s="957"/>
      <c r="J25" s="957"/>
      <c r="K25" s="962"/>
      <c r="L25" s="957"/>
      <c r="M25" s="957"/>
      <c r="N25" s="957"/>
      <c r="O25" s="957"/>
      <c r="P25" s="957"/>
      <c r="Q25" s="957"/>
      <c r="R25" s="1871"/>
      <c r="S25" s="957"/>
      <c r="T25" s="957"/>
      <c r="U25" s="1814"/>
    </row>
    <row r="26" spans="1:21" ht="18.75">
      <c r="A26" s="1856"/>
      <c r="B26" s="1856"/>
      <c r="C26" s="1856"/>
      <c r="D26" s="1856"/>
      <c r="E26" s="965" t="s">
        <v>4</v>
      </c>
      <c r="F26" s="953">
        <f>SUM(F20:F25)</f>
        <v>27600</v>
      </c>
      <c r="G26" s="963"/>
      <c r="H26" s="963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963"/>
    </row>
    <row r="27" spans="1:21" ht="48.75">
      <c r="A27" s="1810" t="s">
        <v>1457</v>
      </c>
      <c r="B27" s="1811"/>
      <c r="C27" s="1811"/>
      <c r="D27" s="1812"/>
      <c r="E27" s="75" t="s">
        <v>139</v>
      </c>
      <c r="F27" s="76">
        <f>F11+F19+F26+F14</f>
        <v>84800</v>
      </c>
      <c r="G27" s="328" t="s">
        <v>77</v>
      </c>
      <c r="H27" s="77"/>
      <c r="I27" s="779">
        <f aca="true" t="shared" si="0" ref="I27:T27">SUM(I7:I26)</f>
        <v>0</v>
      </c>
      <c r="J27" s="779">
        <f t="shared" si="0"/>
        <v>17000</v>
      </c>
      <c r="K27" s="779">
        <f t="shared" si="0"/>
        <v>5800</v>
      </c>
      <c r="L27" s="779">
        <f t="shared" si="0"/>
        <v>25200</v>
      </c>
      <c r="M27" s="779">
        <f t="shared" si="0"/>
        <v>5300</v>
      </c>
      <c r="N27" s="779">
        <f t="shared" si="0"/>
        <v>0</v>
      </c>
      <c r="O27" s="779">
        <f t="shared" si="0"/>
        <v>0</v>
      </c>
      <c r="P27" s="779">
        <f t="shared" si="0"/>
        <v>5800</v>
      </c>
      <c r="Q27" s="779">
        <f t="shared" si="0"/>
        <v>17000</v>
      </c>
      <c r="R27" s="779">
        <f t="shared" si="0"/>
        <v>5300</v>
      </c>
      <c r="S27" s="779">
        <f t="shared" si="0"/>
        <v>0</v>
      </c>
      <c r="T27" s="779">
        <f t="shared" si="0"/>
        <v>0</v>
      </c>
      <c r="U27" s="66"/>
    </row>
    <row r="28" spans="1:21" s="816" customFormat="1" ht="18.75">
      <c r="A28" s="1837" t="s">
        <v>684</v>
      </c>
      <c r="B28" s="1838"/>
      <c r="C28" s="1838"/>
      <c r="D28" s="1838"/>
      <c r="E28" s="1838"/>
      <c r="F28" s="1838"/>
      <c r="G28" s="1838"/>
      <c r="H28" s="1838"/>
      <c r="I28" s="1838"/>
      <c r="J28" s="1838"/>
      <c r="K28" s="1838"/>
      <c r="L28" s="1838"/>
      <c r="M28" s="1838"/>
      <c r="N28" s="1838"/>
      <c r="O28" s="1838"/>
      <c r="P28" s="1838"/>
      <c r="Q28" s="1838"/>
      <c r="R28" s="1838"/>
      <c r="S28" s="1838"/>
      <c r="T28" s="1839"/>
      <c r="U28" s="319"/>
    </row>
    <row r="29" spans="1:21" ht="18.75">
      <c r="A29" s="1840" t="s">
        <v>685</v>
      </c>
      <c r="B29" s="1841"/>
      <c r="C29" s="1841"/>
      <c r="D29" s="1841"/>
      <c r="E29" s="1841"/>
      <c r="F29" s="1841"/>
      <c r="G29" s="1841"/>
      <c r="H29" s="1841"/>
      <c r="I29" s="1841"/>
      <c r="J29" s="1841"/>
      <c r="K29" s="1841"/>
      <c r="L29" s="1841"/>
      <c r="M29" s="1841"/>
      <c r="N29" s="1841"/>
      <c r="O29" s="1841"/>
      <c r="P29" s="1841"/>
      <c r="Q29" s="1841"/>
      <c r="R29" s="1841"/>
      <c r="S29" s="1841"/>
      <c r="T29" s="1842"/>
      <c r="U29" s="329"/>
    </row>
    <row r="30" spans="1:21" ht="25.5">
      <c r="A30" s="1290" t="s">
        <v>686</v>
      </c>
      <c r="B30" s="1568" t="s">
        <v>687</v>
      </c>
      <c r="C30" s="1290" t="s">
        <v>688</v>
      </c>
      <c r="D30" s="1307" t="s">
        <v>689</v>
      </c>
      <c r="E30" s="817" t="s">
        <v>690</v>
      </c>
      <c r="F30" s="818"/>
      <c r="G30" s="766" t="s">
        <v>691</v>
      </c>
      <c r="H30" s="1289" t="s">
        <v>692</v>
      </c>
      <c r="I30" s="773"/>
      <c r="J30" s="1828">
        <v>13840</v>
      </c>
      <c r="K30" s="773"/>
      <c r="L30" s="71"/>
      <c r="M30" s="773"/>
      <c r="N30" s="1828">
        <v>9600</v>
      </c>
      <c r="O30" s="773"/>
      <c r="P30" s="1828">
        <v>9600</v>
      </c>
      <c r="Q30" s="773"/>
      <c r="R30" s="71"/>
      <c r="S30" s="1828">
        <v>9600</v>
      </c>
      <c r="T30" s="773"/>
      <c r="U30" s="761" t="s">
        <v>693</v>
      </c>
    </row>
    <row r="31" spans="1:21" ht="37.5">
      <c r="A31" s="1290"/>
      <c r="B31" s="1569"/>
      <c r="C31" s="1290"/>
      <c r="D31" s="1307"/>
      <c r="E31" s="819" t="s">
        <v>694</v>
      </c>
      <c r="F31" s="818">
        <v>4800</v>
      </c>
      <c r="G31" s="761"/>
      <c r="H31" s="1290"/>
      <c r="I31" s="773"/>
      <c r="J31" s="1821"/>
      <c r="K31" s="773"/>
      <c r="L31" s="71"/>
      <c r="M31" s="773"/>
      <c r="N31" s="1821"/>
      <c r="O31" s="773"/>
      <c r="P31" s="1821"/>
      <c r="Q31" s="773"/>
      <c r="R31" s="71"/>
      <c r="S31" s="1821"/>
      <c r="T31" s="773"/>
      <c r="U31" s="761"/>
    </row>
    <row r="32" spans="1:21" ht="37.5">
      <c r="A32" s="1290"/>
      <c r="B32" s="1569"/>
      <c r="C32" s="1290"/>
      <c r="D32" s="1307"/>
      <c r="E32" s="819" t="s">
        <v>695</v>
      </c>
      <c r="F32" s="818">
        <v>3600</v>
      </c>
      <c r="G32" s="746"/>
      <c r="H32" s="1290"/>
      <c r="I32" s="785"/>
      <c r="J32" s="1821"/>
      <c r="K32" s="785"/>
      <c r="L32" s="71"/>
      <c r="M32" s="785"/>
      <c r="N32" s="1821"/>
      <c r="O32" s="785"/>
      <c r="P32" s="1821"/>
      <c r="Q32" s="785"/>
      <c r="R32" s="71"/>
      <c r="S32" s="1821"/>
      <c r="T32" s="785"/>
      <c r="U32" s="746"/>
    </row>
    <row r="33" spans="1:21" ht="18.75">
      <c r="A33" s="1290"/>
      <c r="B33" s="1569"/>
      <c r="C33" s="1290"/>
      <c r="D33" s="1307"/>
      <c r="E33" s="819" t="s">
        <v>696</v>
      </c>
      <c r="F33" s="818">
        <v>3600</v>
      </c>
      <c r="G33" s="65"/>
      <c r="H33" s="1290"/>
      <c r="I33" s="765"/>
      <c r="J33" s="1821"/>
      <c r="K33" s="765"/>
      <c r="L33" s="71"/>
      <c r="M33" s="765"/>
      <c r="N33" s="1821"/>
      <c r="O33" s="765"/>
      <c r="P33" s="1821"/>
      <c r="Q33" s="765"/>
      <c r="R33" s="71"/>
      <c r="S33" s="1821"/>
      <c r="T33" s="765"/>
      <c r="U33" s="65"/>
    </row>
    <row r="34" spans="1:21" ht="56.25">
      <c r="A34" s="1290"/>
      <c r="B34" s="755"/>
      <c r="C34" s="746"/>
      <c r="D34" s="749"/>
      <c r="E34" s="817" t="s">
        <v>1455</v>
      </c>
      <c r="F34" s="818">
        <v>5040</v>
      </c>
      <c r="G34" s="65"/>
      <c r="H34" s="65"/>
      <c r="I34" s="765"/>
      <c r="J34" s="765"/>
      <c r="K34" s="765"/>
      <c r="L34" s="786"/>
      <c r="M34" s="765"/>
      <c r="N34" s="765"/>
      <c r="O34" s="765"/>
      <c r="P34" s="765"/>
      <c r="Q34" s="765"/>
      <c r="R34" s="786"/>
      <c r="S34" s="765"/>
      <c r="T34" s="765"/>
      <c r="U34" s="65"/>
    </row>
    <row r="35" spans="1:21" ht="18.75">
      <c r="A35" s="1290"/>
      <c r="B35" s="755"/>
      <c r="C35" s="746"/>
      <c r="D35" s="749"/>
      <c r="E35" s="819" t="s">
        <v>697</v>
      </c>
      <c r="F35" s="818">
        <v>2100</v>
      </c>
      <c r="G35" s="65"/>
      <c r="H35" s="65"/>
      <c r="I35" s="765"/>
      <c r="J35" s="765"/>
      <c r="K35" s="765"/>
      <c r="L35" s="786"/>
      <c r="M35" s="765"/>
      <c r="N35" s="765"/>
      <c r="O35" s="765"/>
      <c r="P35" s="765"/>
      <c r="Q35" s="765"/>
      <c r="R35" s="786"/>
      <c r="S35" s="765"/>
      <c r="T35" s="765"/>
      <c r="U35" s="65"/>
    </row>
    <row r="36" spans="1:21" ht="18.75">
      <c r="A36" s="1290"/>
      <c r="B36" s="755"/>
      <c r="C36" s="746"/>
      <c r="D36" s="749"/>
      <c r="E36" s="817" t="s">
        <v>698</v>
      </c>
      <c r="F36" s="818"/>
      <c r="G36" s="761"/>
      <c r="H36" s="761"/>
      <c r="I36" s="773"/>
      <c r="J36" s="773"/>
      <c r="K36" s="773"/>
      <c r="L36" s="786"/>
      <c r="M36" s="773"/>
      <c r="N36" s="773"/>
      <c r="O36" s="773"/>
      <c r="P36" s="773"/>
      <c r="Q36" s="773"/>
      <c r="R36" s="786"/>
      <c r="S36" s="773"/>
      <c r="T36" s="787"/>
      <c r="U36" s="761"/>
    </row>
    <row r="37" spans="1:21" ht="37.5">
      <c r="A37" s="1290"/>
      <c r="B37" s="755"/>
      <c r="C37" s="746"/>
      <c r="D37" s="749"/>
      <c r="E37" s="819" t="s">
        <v>699</v>
      </c>
      <c r="F37" s="818">
        <v>12800</v>
      </c>
      <c r="G37" s="72"/>
      <c r="H37" s="329"/>
      <c r="I37" s="71"/>
      <c r="J37" s="71"/>
      <c r="K37" s="71"/>
      <c r="L37" s="786"/>
      <c r="M37" s="71"/>
      <c r="N37" s="71"/>
      <c r="O37" s="71"/>
      <c r="P37" s="71"/>
      <c r="Q37" s="71"/>
      <c r="R37" s="786"/>
      <c r="S37" s="71"/>
      <c r="T37" s="788"/>
      <c r="U37" s="752"/>
    </row>
    <row r="38" spans="1:21" ht="37.5">
      <c r="A38" s="1290"/>
      <c r="B38" s="755"/>
      <c r="C38" s="746"/>
      <c r="D38" s="749"/>
      <c r="E38" s="820" t="s">
        <v>700</v>
      </c>
      <c r="F38" s="818">
        <v>6400</v>
      </c>
      <c r="G38" s="72"/>
      <c r="H38" s="329"/>
      <c r="I38" s="71"/>
      <c r="J38" s="71"/>
      <c r="K38" s="71"/>
      <c r="L38" s="786"/>
      <c r="M38" s="71"/>
      <c r="N38" s="71"/>
      <c r="O38" s="71"/>
      <c r="P38" s="71"/>
      <c r="Q38" s="71"/>
      <c r="R38" s="786"/>
      <c r="S38" s="71"/>
      <c r="T38" s="788"/>
      <c r="U38" s="752"/>
    </row>
    <row r="39" spans="1:21" ht="18.75">
      <c r="A39" s="1290"/>
      <c r="B39" s="755"/>
      <c r="C39" s="746"/>
      <c r="D39" s="749"/>
      <c r="E39" s="820" t="s">
        <v>701</v>
      </c>
      <c r="F39" s="821">
        <v>4300</v>
      </c>
      <c r="G39" s="72"/>
      <c r="H39" s="329"/>
      <c r="I39" s="71"/>
      <c r="J39" s="71"/>
      <c r="K39" s="71"/>
      <c r="L39" s="786"/>
      <c r="M39" s="71"/>
      <c r="N39" s="71"/>
      <c r="O39" s="71"/>
      <c r="P39" s="71"/>
      <c r="Q39" s="71"/>
      <c r="R39" s="786"/>
      <c r="S39" s="71"/>
      <c r="T39" s="788"/>
      <c r="U39" s="752"/>
    </row>
    <row r="40" spans="1:21" ht="18.75">
      <c r="A40" s="1291"/>
      <c r="B40" s="756"/>
      <c r="C40" s="239"/>
      <c r="D40" s="750"/>
      <c r="E40" s="822" t="s">
        <v>702</v>
      </c>
      <c r="F40" s="823">
        <f>SUM(F30:F39)</f>
        <v>42640</v>
      </c>
      <c r="G40" s="73"/>
      <c r="H40" s="307"/>
      <c r="I40" s="760"/>
      <c r="J40" s="760"/>
      <c r="K40" s="760"/>
      <c r="L40" s="789"/>
      <c r="M40" s="760"/>
      <c r="N40" s="760"/>
      <c r="O40" s="760"/>
      <c r="P40" s="760"/>
      <c r="Q40" s="760"/>
      <c r="R40" s="789"/>
      <c r="S40" s="760"/>
      <c r="T40" s="790"/>
      <c r="U40" s="52"/>
    </row>
    <row r="41" spans="1:21" ht="37.5">
      <c r="A41" s="1289" t="s">
        <v>703</v>
      </c>
      <c r="B41" s="1568" t="s">
        <v>704</v>
      </c>
      <c r="C41" s="1289" t="s">
        <v>705</v>
      </c>
      <c r="D41" s="1289" t="s">
        <v>706</v>
      </c>
      <c r="E41" s="824" t="s">
        <v>707</v>
      </c>
      <c r="F41" s="825">
        <v>5880</v>
      </c>
      <c r="G41" s="767" t="s">
        <v>691</v>
      </c>
      <c r="H41" s="1289" t="s">
        <v>708</v>
      </c>
      <c r="I41" s="791"/>
      <c r="J41" s="1828"/>
      <c r="K41" s="1828"/>
      <c r="L41" s="1828"/>
      <c r="M41" s="1828"/>
      <c r="N41" s="1828"/>
      <c r="O41" s="1828">
        <v>12880</v>
      </c>
      <c r="P41" s="1828"/>
      <c r="Q41" s="1828"/>
      <c r="R41" s="1828"/>
      <c r="S41" s="1828"/>
      <c r="T41" s="1828"/>
      <c r="U41" s="1275" t="s">
        <v>709</v>
      </c>
    </row>
    <row r="42" spans="1:21" ht="18.75">
      <c r="A42" s="1290"/>
      <c r="B42" s="1569"/>
      <c r="C42" s="1290"/>
      <c r="D42" s="1290"/>
      <c r="E42" s="819" t="s">
        <v>710</v>
      </c>
      <c r="F42" s="818">
        <v>7000</v>
      </c>
      <c r="G42" s="761"/>
      <c r="H42" s="1290"/>
      <c r="I42" s="773"/>
      <c r="J42" s="1821"/>
      <c r="K42" s="1821"/>
      <c r="L42" s="1821"/>
      <c r="M42" s="1821"/>
      <c r="N42" s="1821"/>
      <c r="O42" s="1821"/>
      <c r="P42" s="1821"/>
      <c r="Q42" s="1821"/>
      <c r="R42" s="1821"/>
      <c r="S42" s="1821"/>
      <c r="T42" s="1821"/>
      <c r="U42" s="1284"/>
    </row>
    <row r="43" spans="1:21" ht="18.75">
      <c r="A43" s="1290"/>
      <c r="B43" s="1569"/>
      <c r="C43" s="1290"/>
      <c r="D43" s="1290"/>
      <c r="E43" s="819"/>
      <c r="F43" s="818"/>
      <c r="G43" s="746"/>
      <c r="H43" s="1290"/>
      <c r="I43" s="785"/>
      <c r="J43" s="1821"/>
      <c r="K43" s="1821"/>
      <c r="L43" s="1821"/>
      <c r="M43" s="1821"/>
      <c r="N43" s="1821"/>
      <c r="O43" s="1821"/>
      <c r="P43" s="1821"/>
      <c r="Q43" s="1821"/>
      <c r="R43" s="1821"/>
      <c r="S43" s="1821"/>
      <c r="T43" s="1821"/>
      <c r="U43" s="746"/>
    </row>
    <row r="44" spans="1:21" ht="18.75">
      <c r="A44" s="1291"/>
      <c r="B44" s="756"/>
      <c r="C44" s="239"/>
      <c r="D44" s="750"/>
      <c r="E44" s="822" t="s">
        <v>702</v>
      </c>
      <c r="F44" s="823">
        <f>SUM(F41:F43)</f>
        <v>12880</v>
      </c>
      <c r="G44" s="73"/>
      <c r="H44" s="307"/>
      <c r="I44" s="760"/>
      <c r="J44" s="760"/>
      <c r="K44" s="760"/>
      <c r="L44" s="789"/>
      <c r="M44" s="760"/>
      <c r="N44" s="760"/>
      <c r="O44" s="760"/>
      <c r="P44" s="760"/>
      <c r="Q44" s="760"/>
      <c r="R44" s="789"/>
      <c r="S44" s="760"/>
      <c r="T44" s="790"/>
      <c r="U44" s="52"/>
    </row>
    <row r="45" spans="1:21" ht="37.5">
      <c r="A45" s="1289" t="s">
        <v>711</v>
      </c>
      <c r="B45" s="1568" t="s">
        <v>712</v>
      </c>
      <c r="C45" s="1289" t="s">
        <v>713</v>
      </c>
      <c r="D45" s="1289" t="s">
        <v>714</v>
      </c>
      <c r="E45" s="824" t="s">
        <v>715</v>
      </c>
      <c r="F45" s="825">
        <v>25200</v>
      </c>
      <c r="G45" s="767" t="s">
        <v>691</v>
      </c>
      <c r="H45" s="1289" t="s">
        <v>716</v>
      </c>
      <c r="I45" s="791"/>
      <c r="J45" s="1828">
        <v>9228</v>
      </c>
      <c r="K45" s="1828"/>
      <c r="L45" s="1828">
        <v>9228</v>
      </c>
      <c r="M45" s="1828">
        <v>9228</v>
      </c>
      <c r="N45" s="1828">
        <v>9600</v>
      </c>
      <c r="O45" s="1828">
        <v>9600</v>
      </c>
      <c r="P45" s="1828">
        <v>9600</v>
      </c>
      <c r="Q45" s="1828">
        <v>9600</v>
      </c>
      <c r="R45" s="1828">
        <v>9600</v>
      </c>
      <c r="S45" s="1828">
        <v>9600</v>
      </c>
      <c r="T45" s="1828">
        <v>9228</v>
      </c>
      <c r="U45" s="1275" t="s">
        <v>693</v>
      </c>
    </row>
    <row r="46" spans="1:21" ht="37.5">
      <c r="A46" s="1290"/>
      <c r="B46" s="1569"/>
      <c r="C46" s="1290"/>
      <c r="D46" s="1290"/>
      <c r="E46" s="819" t="s">
        <v>717</v>
      </c>
      <c r="F46" s="818">
        <v>30000</v>
      </c>
      <c r="G46" s="761"/>
      <c r="H46" s="1290"/>
      <c r="I46" s="773"/>
      <c r="J46" s="1821"/>
      <c r="K46" s="1821"/>
      <c r="L46" s="1821"/>
      <c r="M46" s="1821"/>
      <c r="N46" s="1821"/>
      <c r="O46" s="1821"/>
      <c r="P46" s="1821"/>
      <c r="Q46" s="1821"/>
      <c r="R46" s="1821"/>
      <c r="S46" s="1821"/>
      <c r="T46" s="1821"/>
      <c r="U46" s="1284"/>
    </row>
    <row r="47" spans="1:21" ht="37.5">
      <c r="A47" s="1290"/>
      <c r="B47" s="1569"/>
      <c r="C47" s="1290"/>
      <c r="D47" s="1290"/>
      <c r="E47" s="819" t="s">
        <v>718</v>
      </c>
      <c r="F47" s="818">
        <v>15000</v>
      </c>
      <c r="G47" s="746"/>
      <c r="H47" s="1290"/>
      <c r="I47" s="785"/>
      <c r="J47" s="1821"/>
      <c r="K47" s="1821"/>
      <c r="L47" s="1821"/>
      <c r="M47" s="1821"/>
      <c r="N47" s="1821"/>
      <c r="O47" s="1821"/>
      <c r="P47" s="1821"/>
      <c r="Q47" s="1821"/>
      <c r="R47" s="1821"/>
      <c r="S47" s="1821"/>
      <c r="T47" s="1821"/>
      <c r="U47" s="746"/>
    </row>
    <row r="48" spans="1:21" ht="18.75">
      <c r="A48" s="1290"/>
      <c r="B48" s="755"/>
      <c r="C48" s="746"/>
      <c r="D48" s="749"/>
      <c r="E48" s="819"/>
      <c r="F48" s="818"/>
      <c r="G48" s="72"/>
      <c r="H48" s="329"/>
      <c r="I48" s="71"/>
      <c r="J48" s="71"/>
      <c r="K48" s="71"/>
      <c r="L48" s="786"/>
      <c r="M48" s="71"/>
      <c r="N48" s="71"/>
      <c r="O48" s="71"/>
      <c r="P48" s="71"/>
      <c r="Q48" s="71"/>
      <c r="R48" s="786"/>
      <c r="S48" s="71"/>
      <c r="T48" s="788"/>
      <c r="U48" s="752"/>
    </row>
    <row r="49" spans="1:21" ht="18.75">
      <c r="A49" s="1291"/>
      <c r="B49" s="756"/>
      <c r="C49" s="239"/>
      <c r="D49" s="750"/>
      <c r="E49" s="822" t="s">
        <v>702</v>
      </c>
      <c r="F49" s="823">
        <f>SUM(F45:F48)</f>
        <v>70200</v>
      </c>
      <c r="G49" s="73"/>
      <c r="H49" s="307"/>
      <c r="I49" s="760"/>
      <c r="J49" s="760"/>
      <c r="K49" s="760"/>
      <c r="L49" s="789"/>
      <c r="M49" s="760"/>
      <c r="N49" s="760"/>
      <c r="O49" s="760"/>
      <c r="P49" s="760"/>
      <c r="Q49" s="760"/>
      <c r="R49" s="789"/>
      <c r="S49" s="760"/>
      <c r="T49" s="790"/>
      <c r="U49" s="52"/>
    </row>
    <row r="50" spans="1:21" ht="18.75">
      <c r="A50" s="750"/>
      <c r="B50" s="908"/>
      <c r="C50" s="909"/>
      <c r="D50" s="909"/>
      <c r="E50" s="910"/>
      <c r="F50" s="911"/>
      <c r="G50" s="912"/>
      <c r="H50" s="913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52"/>
    </row>
    <row r="51" spans="1:21" ht="18.75">
      <c r="A51" s="1840" t="s">
        <v>719</v>
      </c>
      <c r="B51" s="1841"/>
      <c r="C51" s="1841"/>
      <c r="D51" s="1841"/>
      <c r="E51" s="1841"/>
      <c r="F51" s="1841"/>
      <c r="G51" s="1841"/>
      <c r="H51" s="1841"/>
      <c r="I51" s="1841"/>
      <c r="J51" s="1841"/>
      <c r="K51" s="1841"/>
      <c r="L51" s="1841"/>
      <c r="M51" s="1841"/>
      <c r="N51" s="1841"/>
      <c r="O51" s="1841"/>
      <c r="P51" s="1841"/>
      <c r="Q51" s="1841"/>
      <c r="R51" s="1841"/>
      <c r="S51" s="1841"/>
      <c r="T51" s="1841"/>
      <c r="U51" s="752"/>
    </row>
    <row r="52" spans="1:21" ht="37.5">
      <c r="A52" s="827" t="s">
        <v>720</v>
      </c>
      <c r="B52" s="762"/>
      <c r="C52" s="762"/>
      <c r="D52" s="762"/>
      <c r="E52" s="762"/>
      <c r="F52" s="828">
        <f>F53+F56</f>
        <v>2172000</v>
      </c>
      <c r="G52" s="829" t="s">
        <v>721</v>
      </c>
      <c r="H52" s="830" t="s">
        <v>722</v>
      </c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5"/>
      <c r="U52" s="752"/>
    </row>
    <row r="53" spans="1:21" ht="93.75">
      <c r="A53" s="1290" t="s">
        <v>723</v>
      </c>
      <c r="B53" s="238" t="s">
        <v>724</v>
      </c>
      <c r="C53" s="831" t="s">
        <v>725</v>
      </c>
      <c r="D53" s="831" t="s">
        <v>726</v>
      </c>
      <c r="E53" s="819" t="s">
        <v>727</v>
      </c>
      <c r="F53" s="832">
        <v>1392000</v>
      </c>
      <c r="G53" s="761" t="s">
        <v>691</v>
      </c>
      <c r="H53" s="833" t="s">
        <v>722</v>
      </c>
      <c r="I53" s="773"/>
      <c r="J53" s="772"/>
      <c r="K53" s="772">
        <v>100000</v>
      </c>
      <c r="L53" s="772">
        <v>250000</v>
      </c>
      <c r="M53" s="772">
        <v>400000</v>
      </c>
      <c r="N53" s="772">
        <v>200000</v>
      </c>
      <c r="O53" s="772">
        <v>100000</v>
      </c>
      <c r="P53" s="772">
        <v>200000</v>
      </c>
      <c r="Q53" s="772">
        <v>100000</v>
      </c>
      <c r="R53" s="772">
        <v>100000</v>
      </c>
      <c r="S53" s="71">
        <v>50000</v>
      </c>
      <c r="T53" s="773"/>
      <c r="U53" s="747" t="s">
        <v>693</v>
      </c>
    </row>
    <row r="54" spans="1:21" ht="18.75">
      <c r="A54" s="1290"/>
      <c r="B54" s="755"/>
      <c r="C54" s="746"/>
      <c r="D54" s="749"/>
      <c r="E54" s="819"/>
      <c r="F54" s="818"/>
      <c r="G54" s="72"/>
      <c r="H54" s="329"/>
      <c r="I54" s="71"/>
      <c r="J54" s="71"/>
      <c r="K54" s="71"/>
      <c r="L54" s="786"/>
      <c r="M54" s="71"/>
      <c r="N54" s="71"/>
      <c r="O54" s="71"/>
      <c r="P54" s="71"/>
      <c r="Q54" s="71"/>
      <c r="R54" s="786"/>
      <c r="S54" s="71"/>
      <c r="T54" s="788"/>
      <c r="U54" s="752"/>
    </row>
    <row r="55" spans="1:21" ht="37.5">
      <c r="A55" s="1291"/>
      <c r="B55" s="756"/>
      <c r="C55" s="239"/>
      <c r="D55" s="750"/>
      <c r="E55" s="822" t="s">
        <v>702</v>
      </c>
      <c r="F55" s="823">
        <f>SUM(F53:F54)</f>
        <v>1392000</v>
      </c>
      <c r="G55" s="73"/>
      <c r="H55" s="307"/>
      <c r="I55" s="760"/>
      <c r="J55" s="760"/>
      <c r="K55" s="760"/>
      <c r="L55" s="789"/>
      <c r="M55" s="760"/>
      <c r="N55" s="760"/>
      <c r="O55" s="760"/>
      <c r="P55" s="760"/>
      <c r="Q55" s="760"/>
      <c r="R55" s="789"/>
      <c r="S55" s="760"/>
      <c r="T55" s="790"/>
      <c r="U55" s="52"/>
    </row>
    <row r="56" spans="1:21" ht="56.25">
      <c r="A56" s="1275" t="s">
        <v>728</v>
      </c>
      <c r="B56" s="1289" t="s">
        <v>729</v>
      </c>
      <c r="C56" s="1864" t="s">
        <v>730</v>
      </c>
      <c r="D56" s="1864" t="s">
        <v>731</v>
      </c>
      <c r="E56" s="819" t="s">
        <v>732</v>
      </c>
      <c r="F56" s="832">
        <v>780000</v>
      </c>
      <c r="G56" s="761" t="s">
        <v>691</v>
      </c>
      <c r="H56" s="833" t="s">
        <v>722</v>
      </c>
      <c r="I56" s="773"/>
      <c r="J56" s="772"/>
      <c r="K56" s="772">
        <v>50000</v>
      </c>
      <c r="L56" s="772">
        <v>100000</v>
      </c>
      <c r="M56" s="772">
        <v>200000</v>
      </c>
      <c r="N56" s="772">
        <v>100000</v>
      </c>
      <c r="O56" s="772"/>
      <c r="P56" s="772">
        <v>100000</v>
      </c>
      <c r="Q56" s="772">
        <v>100000</v>
      </c>
      <c r="R56" s="772">
        <v>80000</v>
      </c>
      <c r="S56" s="71">
        <v>50000</v>
      </c>
      <c r="T56" s="773"/>
      <c r="U56" s="747" t="s">
        <v>693</v>
      </c>
    </row>
    <row r="57" spans="1:21" ht="18.75">
      <c r="A57" s="1285"/>
      <c r="B57" s="1291"/>
      <c r="C57" s="1865"/>
      <c r="D57" s="1865"/>
      <c r="E57" s="822" t="s">
        <v>702</v>
      </c>
      <c r="F57" s="823">
        <f>SUM(F56:F56)</f>
        <v>780000</v>
      </c>
      <c r="G57" s="73"/>
      <c r="H57" s="307"/>
      <c r="I57" s="760"/>
      <c r="J57" s="760"/>
      <c r="K57" s="760"/>
      <c r="L57" s="789"/>
      <c r="M57" s="760"/>
      <c r="N57" s="760"/>
      <c r="O57" s="760"/>
      <c r="P57" s="760"/>
      <c r="Q57" s="760"/>
      <c r="R57" s="789"/>
      <c r="S57" s="760"/>
      <c r="T57" s="790"/>
      <c r="U57" s="52"/>
    </row>
    <row r="58" spans="1:21" ht="48.75">
      <c r="A58" s="1275" t="s">
        <v>733</v>
      </c>
      <c r="B58" s="1289" t="s">
        <v>734</v>
      </c>
      <c r="C58" s="1864" t="s">
        <v>735</v>
      </c>
      <c r="D58" s="1864" t="s">
        <v>736</v>
      </c>
      <c r="E58" s="819" t="s">
        <v>737</v>
      </c>
      <c r="F58" s="832"/>
      <c r="G58" s="761" t="s">
        <v>691</v>
      </c>
      <c r="H58" s="833" t="s">
        <v>722</v>
      </c>
      <c r="I58" s="773"/>
      <c r="J58" s="772"/>
      <c r="K58" s="772">
        <v>51000</v>
      </c>
      <c r="L58" s="772"/>
      <c r="M58" s="772"/>
      <c r="N58" s="772"/>
      <c r="O58" s="772"/>
      <c r="P58" s="772"/>
      <c r="Q58" s="772"/>
      <c r="R58" s="772"/>
      <c r="S58" s="71"/>
      <c r="T58" s="773"/>
      <c r="U58" s="1275" t="s">
        <v>693</v>
      </c>
    </row>
    <row r="59" spans="1:21" ht="37.5">
      <c r="A59" s="1284"/>
      <c r="B59" s="1290"/>
      <c r="C59" s="1866"/>
      <c r="D59" s="1866"/>
      <c r="E59" s="757" t="s">
        <v>738</v>
      </c>
      <c r="F59" s="809">
        <v>36000</v>
      </c>
      <c r="G59" s="834"/>
      <c r="H59" s="329"/>
      <c r="I59" s="792"/>
      <c r="J59" s="71"/>
      <c r="K59" s="71"/>
      <c r="L59" s="786"/>
      <c r="M59" s="71"/>
      <c r="N59" s="71"/>
      <c r="O59" s="71"/>
      <c r="P59" s="71"/>
      <c r="Q59" s="71"/>
      <c r="R59" s="786"/>
      <c r="S59" s="71"/>
      <c r="T59" s="788"/>
      <c r="U59" s="1284"/>
    </row>
    <row r="60" spans="1:21" ht="37.5">
      <c r="A60" s="1284"/>
      <c r="B60" s="1290"/>
      <c r="C60" s="1866"/>
      <c r="D60" s="1866"/>
      <c r="E60" s="757" t="s">
        <v>739</v>
      </c>
      <c r="F60" s="809">
        <v>15000</v>
      </c>
      <c r="G60" s="834"/>
      <c r="H60" s="329"/>
      <c r="I60" s="792"/>
      <c r="J60" s="71"/>
      <c r="K60" s="71"/>
      <c r="L60" s="786"/>
      <c r="M60" s="71"/>
      <c r="N60" s="71"/>
      <c r="O60" s="71"/>
      <c r="P60" s="71"/>
      <c r="Q60" s="71"/>
      <c r="R60" s="786"/>
      <c r="S60" s="71"/>
      <c r="T60" s="788"/>
      <c r="U60" s="748"/>
    </row>
    <row r="61" spans="1:21" ht="18.75">
      <c r="A61" s="1285"/>
      <c r="B61" s="1291"/>
      <c r="C61" s="1865"/>
      <c r="D61" s="1865"/>
      <c r="E61" s="822" t="s">
        <v>702</v>
      </c>
      <c r="F61" s="823">
        <f>SUM(F58:F60)</f>
        <v>51000</v>
      </c>
      <c r="G61" s="73"/>
      <c r="H61" s="307"/>
      <c r="I61" s="760"/>
      <c r="J61" s="760"/>
      <c r="K61" s="760"/>
      <c r="L61" s="789"/>
      <c r="M61" s="760"/>
      <c r="N61" s="760"/>
      <c r="O61" s="760"/>
      <c r="P61" s="760"/>
      <c r="Q61" s="760"/>
      <c r="R61" s="789"/>
      <c r="S61" s="760"/>
      <c r="T61" s="790"/>
      <c r="U61" s="52"/>
    </row>
    <row r="62" spans="1:21" ht="37.5">
      <c r="A62" s="1290" t="s">
        <v>740</v>
      </c>
      <c r="B62" s="1568" t="s">
        <v>741</v>
      </c>
      <c r="C62" s="1290" t="s">
        <v>742</v>
      </c>
      <c r="D62" s="1307" t="s">
        <v>743</v>
      </c>
      <c r="E62" s="819" t="s">
        <v>744</v>
      </c>
      <c r="F62" s="818">
        <v>7500</v>
      </c>
      <c r="G62" s="761" t="s">
        <v>691</v>
      </c>
      <c r="H62" s="1862">
        <v>22616</v>
      </c>
      <c r="I62" s="773"/>
      <c r="J62" s="1828"/>
      <c r="K62" s="1821">
        <v>39250</v>
      </c>
      <c r="L62" s="71"/>
      <c r="M62" s="773"/>
      <c r="N62" s="1828"/>
      <c r="O62" s="773"/>
      <c r="P62" s="1828"/>
      <c r="Q62" s="773"/>
      <c r="R62" s="71"/>
      <c r="S62" s="1828"/>
      <c r="T62" s="773"/>
      <c r="U62" s="773" t="s">
        <v>693</v>
      </c>
    </row>
    <row r="63" spans="1:21" ht="37.5">
      <c r="A63" s="1290"/>
      <c r="B63" s="1569"/>
      <c r="C63" s="1290"/>
      <c r="D63" s="1307"/>
      <c r="E63" s="819" t="s">
        <v>745</v>
      </c>
      <c r="F63" s="818">
        <v>4500</v>
      </c>
      <c r="G63" s="761"/>
      <c r="H63" s="1290"/>
      <c r="I63" s="773"/>
      <c r="J63" s="1821"/>
      <c r="K63" s="1821"/>
      <c r="L63" s="71"/>
      <c r="M63" s="773"/>
      <c r="N63" s="1821"/>
      <c r="O63" s="773"/>
      <c r="P63" s="1821"/>
      <c r="Q63" s="773"/>
      <c r="R63" s="71"/>
      <c r="S63" s="1821"/>
      <c r="T63" s="773"/>
      <c r="U63" s="773"/>
    </row>
    <row r="64" spans="1:21" ht="37.5">
      <c r="A64" s="1290"/>
      <c r="B64" s="1569"/>
      <c r="C64" s="1290"/>
      <c r="D64" s="1307"/>
      <c r="E64" s="819" t="s">
        <v>746</v>
      </c>
      <c r="F64" s="818">
        <v>3000</v>
      </c>
      <c r="G64" s="746"/>
      <c r="H64" s="1290"/>
      <c r="I64" s="785"/>
      <c r="J64" s="1821"/>
      <c r="K64" s="785"/>
      <c r="L64" s="71"/>
      <c r="M64" s="785"/>
      <c r="N64" s="1821"/>
      <c r="O64" s="785"/>
      <c r="P64" s="1821"/>
      <c r="Q64" s="785"/>
      <c r="R64" s="71"/>
      <c r="S64" s="1821"/>
      <c r="T64" s="785"/>
      <c r="U64" s="785"/>
    </row>
    <row r="65" spans="1:21" ht="18.75">
      <c r="A65" s="1290"/>
      <c r="B65" s="1569"/>
      <c r="C65" s="1290"/>
      <c r="D65" s="1307"/>
      <c r="E65" s="819" t="s">
        <v>696</v>
      </c>
      <c r="F65" s="818">
        <v>1000</v>
      </c>
      <c r="G65" s="65"/>
      <c r="H65" s="1290"/>
      <c r="I65" s="765"/>
      <c r="J65" s="1821"/>
      <c r="K65" s="765"/>
      <c r="L65" s="71"/>
      <c r="M65" s="765"/>
      <c r="N65" s="1821"/>
      <c r="O65" s="765"/>
      <c r="P65" s="1821"/>
      <c r="Q65" s="765"/>
      <c r="R65" s="71"/>
      <c r="S65" s="1821"/>
      <c r="T65" s="765"/>
      <c r="U65" s="765"/>
    </row>
    <row r="66" spans="1:21" ht="18.75">
      <c r="A66" s="1290"/>
      <c r="B66" s="755"/>
      <c r="C66" s="746"/>
      <c r="D66" s="749"/>
      <c r="E66" s="819" t="s">
        <v>697</v>
      </c>
      <c r="F66" s="818">
        <v>1000</v>
      </c>
      <c r="G66" s="65"/>
      <c r="H66" s="65"/>
      <c r="I66" s="765"/>
      <c r="J66" s="765"/>
      <c r="K66" s="765"/>
      <c r="L66" s="786"/>
      <c r="M66" s="765"/>
      <c r="N66" s="765"/>
      <c r="O66" s="765"/>
      <c r="P66" s="765"/>
      <c r="Q66" s="765"/>
      <c r="R66" s="786"/>
      <c r="S66" s="765"/>
      <c r="T66" s="765"/>
      <c r="U66" s="65"/>
    </row>
    <row r="67" spans="1:21" ht="37.5">
      <c r="A67" s="1290"/>
      <c r="B67" s="755"/>
      <c r="C67" s="746"/>
      <c r="D67" s="749"/>
      <c r="E67" s="819" t="s">
        <v>747</v>
      </c>
      <c r="F67" s="818">
        <v>11250</v>
      </c>
      <c r="G67" s="761"/>
      <c r="H67" s="761"/>
      <c r="I67" s="773"/>
      <c r="J67" s="773"/>
      <c r="K67" s="773"/>
      <c r="L67" s="786"/>
      <c r="M67" s="773"/>
      <c r="N67" s="773"/>
      <c r="O67" s="773"/>
      <c r="P67" s="773"/>
      <c r="Q67" s="773"/>
      <c r="R67" s="786"/>
      <c r="S67" s="773"/>
      <c r="T67" s="787"/>
      <c r="U67" s="761"/>
    </row>
    <row r="68" spans="1:21" ht="37.5">
      <c r="A68" s="1290"/>
      <c r="B68" s="755"/>
      <c r="C68" s="746"/>
      <c r="D68" s="749"/>
      <c r="E68" s="819" t="s">
        <v>748</v>
      </c>
      <c r="F68" s="818">
        <v>4000</v>
      </c>
      <c r="G68" s="72"/>
      <c r="H68" s="329"/>
      <c r="I68" s="71"/>
      <c r="J68" s="71"/>
      <c r="K68" s="71"/>
      <c r="L68" s="786"/>
      <c r="M68" s="71"/>
      <c r="N68" s="71"/>
      <c r="O68" s="71"/>
      <c r="P68" s="71"/>
      <c r="Q68" s="71"/>
      <c r="R68" s="786"/>
      <c r="S68" s="71"/>
      <c r="T68" s="788"/>
      <c r="U68" s="752"/>
    </row>
    <row r="69" spans="1:21" ht="47.25">
      <c r="A69" s="1290"/>
      <c r="B69" s="755"/>
      <c r="C69" s="746"/>
      <c r="D69" s="749"/>
      <c r="E69" s="835" t="s">
        <v>1450</v>
      </c>
      <c r="F69" s="818">
        <v>7000</v>
      </c>
      <c r="G69" s="72"/>
      <c r="H69" s="329"/>
      <c r="I69" s="71"/>
      <c r="J69" s="71"/>
      <c r="K69" s="71"/>
      <c r="L69" s="786"/>
      <c r="M69" s="71"/>
      <c r="N69" s="71"/>
      <c r="O69" s="71"/>
      <c r="P69" s="71"/>
      <c r="Q69" s="71"/>
      <c r="R69" s="786"/>
      <c r="S69" s="71"/>
      <c r="T69" s="788"/>
      <c r="U69" s="752"/>
    </row>
    <row r="70" spans="1:21" ht="18.75">
      <c r="A70" s="1291"/>
      <c r="B70" s="756"/>
      <c r="C70" s="239"/>
      <c r="D70" s="750"/>
      <c r="E70" s="822" t="s">
        <v>702</v>
      </c>
      <c r="F70" s="823">
        <f>SUM(F62:F69)</f>
        <v>39250</v>
      </c>
      <c r="G70" s="73"/>
      <c r="H70" s="307"/>
      <c r="I70" s="760"/>
      <c r="J70" s="760"/>
      <c r="K70" s="760"/>
      <c r="L70" s="789"/>
      <c r="M70" s="760"/>
      <c r="N70" s="760"/>
      <c r="O70" s="760"/>
      <c r="P70" s="760"/>
      <c r="Q70" s="760"/>
      <c r="R70" s="789"/>
      <c r="S70" s="760"/>
      <c r="T70" s="790"/>
      <c r="U70" s="52"/>
    </row>
    <row r="71" spans="1:21" ht="18.75">
      <c r="A71" s="1840" t="s">
        <v>749</v>
      </c>
      <c r="B71" s="1841"/>
      <c r="C71" s="1841"/>
      <c r="D71" s="1841"/>
      <c r="E71" s="1841"/>
      <c r="F71" s="1841"/>
      <c r="G71" s="1841"/>
      <c r="H71" s="1841"/>
      <c r="I71" s="1841"/>
      <c r="J71" s="1841"/>
      <c r="K71" s="1841"/>
      <c r="L71" s="1841"/>
      <c r="M71" s="1841"/>
      <c r="N71" s="1841"/>
      <c r="O71" s="1841"/>
      <c r="P71" s="1841"/>
      <c r="Q71" s="1841"/>
      <c r="R71" s="1841"/>
      <c r="S71" s="1841"/>
      <c r="T71" s="1842"/>
      <c r="U71" s="836"/>
    </row>
    <row r="72" spans="1:21" ht="37.5">
      <c r="A72" s="1290" t="s">
        <v>750</v>
      </c>
      <c r="B72" s="1568" t="s">
        <v>751</v>
      </c>
      <c r="C72" s="1290" t="s">
        <v>752</v>
      </c>
      <c r="D72" s="1307" t="s">
        <v>753</v>
      </c>
      <c r="E72" s="819" t="s">
        <v>754</v>
      </c>
      <c r="F72" s="818">
        <v>37500</v>
      </c>
      <c r="G72" s="761" t="s">
        <v>691</v>
      </c>
      <c r="H72" s="1862">
        <v>22647</v>
      </c>
      <c r="I72" s="773"/>
      <c r="J72" s="1828"/>
      <c r="K72" s="1821"/>
      <c r="L72" s="1821">
        <v>60500</v>
      </c>
      <c r="M72" s="773"/>
      <c r="N72" s="1828"/>
      <c r="O72" s="773"/>
      <c r="P72" s="1828"/>
      <c r="Q72" s="773"/>
      <c r="R72" s="71"/>
      <c r="S72" s="1828"/>
      <c r="T72" s="773"/>
      <c r="U72" s="773" t="s">
        <v>693</v>
      </c>
    </row>
    <row r="73" spans="1:21" ht="37.5">
      <c r="A73" s="1290"/>
      <c r="B73" s="1569"/>
      <c r="C73" s="1290"/>
      <c r="D73" s="1307"/>
      <c r="E73" s="819" t="s">
        <v>755</v>
      </c>
      <c r="F73" s="818">
        <v>15000</v>
      </c>
      <c r="G73" s="761"/>
      <c r="H73" s="1290"/>
      <c r="I73" s="773"/>
      <c r="J73" s="1821"/>
      <c r="K73" s="1821"/>
      <c r="L73" s="1821"/>
      <c r="M73" s="773"/>
      <c r="N73" s="1821"/>
      <c r="O73" s="773"/>
      <c r="P73" s="1821"/>
      <c r="Q73" s="773"/>
      <c r="R73" s="71"/>
      <c r="S73" s="1821"/>
      <c r="T73" s="773"/>
      <c r="U73" s="773"/>
    </row>
    <row r="74" spans="1:21" ht="56.25">
      <c r="A74" s="1290"/>
      <c r="B74" s="1569"/>
      <c r="C74" s="1290"/>
      <c r="D74" s="1307"/>
      <c r="E74" s="819" t="s">
        <v>756</v>
      </c>
      <c r="F74" s="818">
        <v>8000</v>
      </c>
      <c r="G74" s="746"/>
      <c r="H74" s="1290"/>
      <c r="I74" s="785"/>
      <c r="J74" s="1821"/>
      <c r="K74" s="785"/>
      <c r="L74" s="71"/>
      <c r="M74" s="785"/>
      <c r="N74" s="1821"/>
      <c r="O74" s="785"/>
      <c r="P74" s="1821"/>
      <c r="Q74" s="785"/>
      <c r="R74" s="71"/>
      <c r="S74" s="1821"/>
      <c r="T74" s="785"/>
      <c r="U74" s="785"/>
    </row>
    <row r="75" spans="1:21" ht="18.75">
      <c r="A75" s="1291"/>
      <c r="B75" s="756"/>
      <c r="C75" s="239"/>
      <c r="D75" s="750"/>
      <c r="E75" s="822" t="s">
        <v>702</v>
      </c>
      <c r="F75" s="823">
        <f>SUM(F72:F74)</f>
        <v>60500</v>
      </c>
      <c r="G75" s="73"/>
      <c r="H75" s="307"/>
      <c r="I75" s="760"/>
      <c r="J75" s="760"/>
      <c r="K75" s="760"/>
      <c r="L75" s="789"/>
      <c r="M75" s="760"/>
      <c r="N75" s="760"/>
      <c r="O75" s="760"/>
      <c r="P75" s="760"/>
      <c r="Q75" s="760"/>
      <c r="R75" s="789"/>
      <c r="S75" s="760"/>
      <c r="T75" s="790"/>
      <c r="U75" s="52"/>
    </row>
    <row r="76" spans="1:21" ht="37.5">
      <c r="A76" s="1289" t="s">
        <v>757</v>
      </c>
      <c r="B76" s="1568" t="s">
        <v>758</v>
      </c>
      <c r="C76" s="1289" t="s">
        <v>759</v>
      </c>
      <c r="D76" s="1306" t="s">
        <v>760</v>
      </c>
      <c r="E76" s="824" t="s">
        <v>761</v>
      </c>
      <c r="F76" s="825">
        <v>4200</v>
      </c>
      <c r="G76" s="826" t="s">
        <v>691</v>
      </c>
      <c r="H76" s="1862">
        <v>22767</v>
      </c>
      <c r="I76" s="791"/>
      <c r="J76" s="1828"/>
      <c r="K76" s="1828"/>
      <c r="L76" s="1863">
        <v>19800</v>
      </c>
      <c r="M76" s="791"/>
      <c r="N76" s="1828"/>
      <c r="O76" s="791"/>
      <c r="P76" s="1828"/>
      <c r="Q76" s="791"/>
      <c r="R76" s="759"/>
      <c r="S76" s="1828"/>
      <c r="T76" s="791"/>
      <c r="U76" s="791" t="s">
        <v>693</v>
      </c>
    </row>
    <row r="77" spans="1:21" ht="37.5">
      <c r="A77" s="1290"/>
      <c r="B77" s="1569"/>
      <c r="C77" s="1290"/>
      <c r="D77" s="1307"/>
      <c r="E77" s="820" t="s">
        <v>762</v>
      </c>
      <c r="F77" s="818">
        <v>2400</v>
      </c>
      <c r="G77" s="761"/>
      <c r="H77" s="1290"/>
      <c r="I77" s="773"/>
      <c r="J77" s="1821"/>
      <c r="K77" s="1821"/>
      <c r="L77" s="1843"/>
      <c r="M77" s="773"/>
      <c r="N77" s="1821"/>
      <c r="O77" s="773"/>
      <c r="P77" s="1821"/>
      <c r="Q77" s="773"/>
      <c r="R77" s="71"/>
      <c r="S77" s="1821"/>
      <c r="T77" s="773"/>
      <c r="U77" s="773"/>
    </row>
    <row r="78" spans="1:21" ht="18.75">
      <c r="A78" s="1290"/>
      <c r="B78" s="1569"/>
      <c r="C78" s="1290"/>
      <c r="D78" s="1307"/>
      <c r="E78" s="820" t="s">
        <v>701</v>
      </c>
      <c r="F78" s="818">
        <v>2400</v>
      </c>
      <c r="G78" s="746"/>
      <c r="H78" s="1290"/>
      <c r="I78" s="785"/>
      <c r="J78" s="1821"/>
      <c r="K78" s="785"/>
      <c r="L78" s="71"/>
      <c r="M78" s="785"/>
      <c r="N78" s="1821"/>
      <c r="O78" s="785"/>
      <c r="P78" s="1821"/>
      <c r="Q78" s="785"/>
      <c r="R78" s="71"/>
      <c r="S78" s="1821"/>
      <c r="T78" s="785"/>
      <c r="U78" s="785"/>
    </row>
    <row r="79" spans="1:21" ht="18.75">
      <c r="A79" s="1290"/>
      <c r="B79" s="1569"/>
      <c r="C79" s="1290"/>
      <c r="D79" s="1307"/>
      <c r="E79" s="820" t="s">
        <v>763</v>
      </c>
      <c r="F79" s="818">
        <v>3000</v>
      </c>
      <c r="G79" s="746"/>
      <c r="H79" s="1290"/>
      <c r="I79" s="785"/>
      <c r="J79" s="1821"/>
      <c r="K79" s="785"/>
      <c r="L79" s="71"/>
      <c r="M79" s="785"/>
      <c r="N79" s="1821"/>
      <c r="O79" s="785"/>
      <c r="P79" s="1821"/>
      <c r="Q79" s="785"/>
      <c r="R79" s="71"/>
      <c r="S79" s="1821"/>
      <c r="T79" s="785"/>
      <c r="U79" s="785"/>
    </row>
    <row r="80" spans="1:21" ht="18.75">
      <c r="A80" s="1290"/>
      <c r="B80" s="1569"/>
      <c r="C80" s="1290"/>
      <c r="D80" s="1307"/>
      <c r="E80" s="820" t="s">
        <v>764</v>
      </c>
      <c r="F80" s="818">
        <v>7800</v>
      </c>
      <c r="G80" s="746"/>
      <c r="H80" s="1290"/>
      <c r="I80" s="785"/>
      <c r="J80" s="1821"/>
      <c r="K80" s="785"/>
      <c r="L80" s="71"/>
      <c r="M80" s="785"/>
      <c r="N80" s="1821"/>
      <c r="O80" s="785"/>
      <c r="P80" s="1821"/>
      <c r="Q80" s="785"/>
      <c r="R80" s="71"/>
      <c r="S80" s="1821"/>
      <c r="T80" s="785"/>
      <c r="U80" s="785"/>
    </row>
    <row r="81" spans="1:21" ht="18.75">
      <c r="A81" s="1291"/>
      <c r="B81" s="756"/>
      <c r="C81" s="239"/>
      <c r="D81" s="750"/>
      <c r="E81" s="822" t="s">
        <v>702</v>
      </c>
      <c r="F81" s="823">
        <f>SUM(F76:F80)</f>
        <v>19800</v>
      </c>
      <c r="G81" s="73"/>
      <c r="H81" s="307"/>
      <c r="I81" s="760"/>
      <c r="J81" s="760"/>
      <c r="K81" s="760"/>
      <c r="L81" s="789"/>
      <c r="M81" s="760"/>
      <c r="N81" s="760"/>
      <c r="O81" s="760"/>
      <c r="P81" s="760"/>
      <c r="Q81" s="760"/>
      <c r="R81" s="789"/>
      <c r="S81" s="760"/>
      <c r="T81" s="790"/>
      <c r="U81" s="52"/>
    </row>
    <row r="82" spans="1:21" ht="37.5">
      <c r="A82" s="1290" t="s">
        <v>765</v>
      </c>
      <c r="B82" s="1568" t="s">
        <v>766</v>
      </c>
      <c r="C82" s="1290" t="s">
        <v>759</v>
      </c>
      <c r="D82" s="1307" t="s">
        <v>767</v>
      </c>
      <c r="E82" s="819" t="s">
        <v>768</v>
      </c>
      <c r="F82" s="818">
        <v>25000</v>
      </c>
      <c r="G82" s="761" t="s">
        <v>691</v>
      </c>
      <c r="H82" s="1862">
        <v>22616</v>
      </c>
      <c r="I82" s="773"/>
      <c r="J82" s="1828"/>
      <c r="K82" s="1821">
        <v>39250</v>
      </c>
      <c r="L82" s="71"/>
      <c r="M82" s="773"/>
      <c r="N82" s="1828"/>
      <c r="O82" s="773"/>
      <c r="P82" s="1828"/>
      <c r="Q82" s="773"/>
      <c r="R82" s="71"/>
      <c r="S82" s="1828"/>
      <c r="T82" s="773"/>
      <c r="U82" s="773" t="s">
        <v>693</v>
      </c>
    </row>
    <row r="83" spans="1:21" ht="37.5">
      <c r="A83" s="1290"/>
      <c r="B83" s="1569"/>
      <c r="C83" s="1290"/>
      <c r="D83" s="1307"/>
      <c r="E83" s="819" t="s">
        <v>769</v>
      </c>
      <c r="F83" s="818">
        <v>15000</v>
      </c>
      <c r="G83" s="761"/>
      <c r="H83" s="1290"/>
      <c r="I83" s="773"/>
      <c r="J83" s="1821"/>
      <c r="K83" s="1821"/>
      <c r="L83" s="71"/>
      <c r="M83" s="773"/>
      <c r="N83" s="1821"/>
      <c r="O83" s="773"/>
      <c r="P83" s="1821"/>
      <c r="Q83" s="773"/>
      <c r="R83" s="71"/>
      <c r="S83" s="1821"/>
      <c r="T83" s="773"/>
      <c r="U83" s="773"/>
    </row>
    <row r="84" spans="1:21" ht="37.5">
      <c r="A84" s="1290"/>
      <c r="B84" s="1569"/>
      <c r="C84" s="1290"/>
      <c r="D84" s="1307"/>
      <c r="E84" s="819" t="s">
        <v>770</v>
      </c>
      <c r="F84" s="818">
        <v>10000</v>
      </c>
      <c r="G84" s="746"/>
      <c r="H84" s="1290"/>
      <c r="I84" s="785"/>
      <c r="J84" s="1821"/>
      <c r="K84" s="785"/>
      <c r="L84" s="71"/>
      <c r="M84" s="785"/>
      <c r="N84" s="1821"/>
      <c r="O84" s="785"/>
      <c r="P84" s="1821"/>
      <c r="Q84" s="785"/>
      <c r="R84" s="71"/>
      <c r="S84" s="1821"/>
      <c r="T84" s="785"/>
      <c r="U84" s="785"/>
    </row>
    <row r="85" spans="1:21" ht="18.75">
      <c r="A85" s="1290"/>
      <c r="B85" s="1569"/>
      <c r="C85" s="1290"/>
      <c r="D85" s="1307"/>
      <c r="E85" s="819" t="s">
        <v>696</v>
      </c>
      <c r="F85" s="818">
        <v>2500</v>
      </c>
      <c r="G85" s="65"/>
      <c r="H85" s="1290"/>
      <c r="I85" s="765"/>
      <c r="J85" s="1821"/>
      <c r="K85" s="765"/>
      <c r="L85" s="71"/>
      <c r="M85" s="765"/>
      <c r="N85" s="1821"/>
      <c r="O85" s="765"/>
      <c r="P85" s="1821"/>
      <c r="Q85" s="765"/>
      <c r="R85" s="71"/>
      <c r="S85" s="1821"/>
      <c r="T85" s="765"/>
      <c r="U85" s="765"/>
    </row>
    <row r="86" spans="1:21" ht="18.75">
      <c r="A86" s="1290"/>
      <c r="B86" s="755"/>
      <c r="C86" s="746"/>
      <c r="D86" s="749"/>
      <c r="E86" s="819" t="s">
        <v>697</v>
      </c>
      <c r="F86" s="818">
        <v>3000</v>
      </c>
      <c r="G86" s="65"/>
      <c r="H86" s="65"/>
      <c r="I86" s="765"/>
      <c r="J86" s="765"/>
      <c r="K86" s="765"/>
      <c r="L86" s="786"/>
      <c r="M86" s="765"/>
      <c r="N86" s="765"/>
      <c r="O86" s="765"/>
      <c r="P86" s="765"/>
      <c r="Q86" s="765"/>
      <c r="R86" s="786"/>
      <c r="S86" s="765"/>
      <c r="T86" s="765"/>
      <c r="U86" s="65"/>
    </row>
    <row r="87" spans="1:21" ht="37.5">
      <c r="A87" s="1290"/>
      <c r="B87" s="755"/>
      <c r="C87" s="746"/>
      <c r="D87" s="749"/>
      <c r="E87" s="819" t="s">
        <v>771</v>
      </c>
      <c r="F87" s="818">
        <v>30000</v>
      </c>
      <c r="G87" s="761"/>
      <c r="H87" s="761"/>
      <c r="I87" s="773"/>
      <c r="J87" s="773"/>
      <c r="K87" s="773"/>
      <c r="L87" s="786"/>
      <c r="M87" s="773"/>
      <c r="N87" s="773"/>
      <c r="O87" s="773"/>
      <c r="P87" s="773"/>
      <c r="Q87" s="773"/>
      <c r="R87" s="786"/>
      <c r="S87" s="773"/>
      <c r="T87" s="787"/>
      <c r="U87" s="761"/>
    </row>
    <row r="88" spans="1:21" ht="37.5">
      <c r="A88" s="1290"/>
      <c r="B88" s="755"/>
      <c r="C88" s="746"/>
      <c r="D88" s="749"/>
      <c r="E88" s="819" t="s">
        <v>772</v>
      </c>
      <c r="F88" s="818">
        <v>8000</v>
      </c>
      <c r="G88" s="72"/>
      <c r="H88" s="329"/>
      <c r="I88" s="71"/>
      <c r="J88" s="71"/>
      <c r="K88" s="71"/>
      <c r="L88" s="786"/>
      <c r="M88" s="71"/>
      <c r="N88" s="71"/>
      <c r="O88" s="71"/>
      <c r="P88" s="71"/>
      <c r="Q88" s="71"/>
      <c r="R88" s="786"/>
      <c r="S88" s="71"/>
      <c r="T88" s="788"/>
      <c r="U88" s="752"/>
    </row>
    <row r="89" spans="1:21" ht="56.25">
      <c r="A89" s="1290"/>
      <c r="B89" s="755"/>
      <c r="C89" s="746"/>
      <c r="D89" s="749"/>
      <c r="E89" s="820" t="s">
        <v>773</v>
      </c>
      <c r="F89" s="818">
        <v>36000</v>
      </c>
      <c r="G89" s="72"/>
      <c r="H89" s="329"/>
      <c r="I89" s="71"/>
      <c r="J89" s="71"/>
      <c r="K89" s="71"/>
      <c r="L89" s="786"/>
      <c r="M89" s="71"/>
      <c r="N89" s="71"/>
      <c r="O89" s="71"/>
      <c r="P89" s="71"/>
      <c r="Q89" s="71"/>
      <c r="R89" s="786"/>
      <c r="S89" s="71"/>
      <c r="T89" s="788"/>
      <c r="U89" s="752"/>
    </row>
    <row r="90" spans="1:21" ht="18.75">
      <c r="A90" s="1290"/>
      <c r="B90" s="755"/>
      <c r="C90" s="746"/>
      <c r="D90" s="749"/>
      <c r="E90" s="820" t="s">
        <v>764</v>
      </c>
      <c r="F90" s="818">
        <v>12000</v>
      </c>
      <c r="G90" s="72"/>
      <c r="H90" s="329"/>
      <c r="I90" s="71"/>
      <c r="J90" s="71"/>
      <c r="K90" s="71"/>
      <c r="L90" s="786"/>
      <c r="M90" s="71"/>
      <c r="N90" s="71"/>
      <c r="O90" s="71"/>
      <c r="P90" s="71"/>
      <c r="Q90" s="71"/>
      <c r="R90" s="786"/>
      <c r="S90" s="71"/>
      <c r="T90" s="788"/>
      <c r="U90" s="752"/>
    </row>
    <row r="91" spans="1:21" ht="18.75">
      <c r="A91" s="1290"/>
      <c r="B91" s="755"/>
      <c r="C91" s="746"/>
      <c r="D91" s="749"/>
      <c r="E91" s="820"/>
      <c r="F91" s="818"/>
      <c r="G91" s="72"/>
      <c r="H91" s="329"/>
      <c r="I91" s="71"/>
      <c r="J91" s="71"/>
      <c r="K91" s="71"/>
      <c r="L91" s="786"/>
      <c r="M91" s="71"/>
      <c r="N91" s="71"/>
      <c r="O91" s="71"/>
      <c r="P91" s="71"/>
      <c r="Q91" s="71"/>
      <c r="R91" s="786"/>
      <c r="S91" s="71"/>
      <c r="T91" s="788"/>
      <c r="U91" s="752"/>
    </row>
    <row r="92" spans="1:21" ht="18.75">
      <c r="A92" s="1291"/>
      <c r="B92" s="756"/>
      <c r="C92" s="239"/>
      <c r="D92" s="750"/>
      <c r="E92" s="822" t="s">
        <v>702</v>
      </c>
      <c r="F92" s="823">
        <f>SUM(F82:F90)</f>
        <v>141500</v>
      </c>
      <c r="G92" s="73"/>
      <c r="H92" s="307"/>
      <c r="I92" s="760"/>
      <c r="J92" s="760"/>
      <c r="K92" s="760"/>
      <c r="L92" s="789"/>
      <c r="M92" s="760"/>
      <c r="N92" s="760"/>
      <c r="O92" s="760"/>
      <c r="P92" s="760"/>
      <c r="Q92" s="760"/>
      <c r="R92" s="789"/>
      <c r="S92" s="760"/>
      <c r="T92" s="790"/>
      <c r="U92" s="52"/>
    </row>
    <row r="93" spans="1:21" ht="37.5">
      <c r="A93" s="1289" t="s">
        <v>774</v>
      </c>
      <c r="B93" s="1568" t="s">
        <v>775</v>
      </c>
      <c r="C93" s="1289" t="s">
        <v>776</v>
      </c>
      <c r="D93" s="1306" t="s">
        <v>777</v>
      </c>
      <c r="E93" s="824" t="s">
        <v>778</v>
      </c>
      <c r="F93" s="825">
        <v>15000</v>
      </c>
      <c r="G93" s="826" t="s">
        <v>691</v>
      </c>
      <c r="H93" s="1862">
        <v>22828</v>
      </c>
      <c r="I93" s="791"/>
      <c r="J93" s="1828"/>
      <c r="K93" s="1828"/>
      <c r="L93" s="759"/>
      <c r="M93" s="791"/>
      <c r="N93" s="1828"/>
      <c r="O93" s="791"/>
      <c r="P93" s="1828"/>
      <c r="Q93" s="791"/>
      <c r="R93" s="1863">
        <v>143300</v>
      </c>
      <c r="S93" s="1828"/>
      <c r="T93" s="791"/>
      <c r="U93" s="791" t="s">
        <v>693</v>
      </c>
    </row>
    <row r="94" spans="1:21" ht="37.5">
      <c r="A94" s="1290"/>
      <c r="B94" s="1569"/>
      <c r="C94" s="1290"/>
      <c r="D94" s="1307"/>
      <c r="E94" s="819" t="s">
        <v>779</v>
      </c>
      <c r="F94" s="818">
        <v>7500</v>
      </c>
      <c r="G94" s="761"/>
      <c r="H94" s="1290"/>
      <c r="I94" s="773"/>
      <c r="J94" s="1821"/>
      <c r="K94" s="1821"/>
      <c r="L94" s="71"/>
      <c r="M94" s="773"/>
      <c r="N94" s="1821"/>
      <c r="O94" s="773"/>
      <c r="P94" s="1821"/>
      <c r="Q94" s="773"/>
      <c r="R94" s="1843"/>
      <c r="S94" s="1821"/>
      <c r="T94" s="773"/>
      <c r="U94" s="773"/>
    </row>
    <row r="95" spans="1:21" ht="37.5">
      <c r="A95" s="1290"/>
      <c r="B95" s="1569"/>
      <c r="C95" s="1290"/>
      <c r="D95" s="1307"/>
      <c r="E95" s="819" t="s">
        <v>780</v>
      </c>
      <c r="F95" s="818">
        <v>5000</v>
      </c>
      <c r="G95" s="746"/>
      <c r="H95" s="1290"/>
      <c r="I95" s="785"/>
      <c r="J95" s="1821"/>
      <c r="K95" s="785"/>
      <c r="L95" s="71"/>
      <c r="M95" s="785"/>
      <c r="N95" s="1821"/>
      <c r="O95" s="785"/>
      <c r="P95" s="1821"/>
      <c r="Q95" s="785"/>
      <c r="R95" s="71"/>
      <c r="S95" s="1821"/>
      <c r="T95" s="785"/>
      <c r="U95" s="785"/>
    </row>
    <row r="96" spans="1:21" ht="18.75">
      <c r="A96" s="1290"/>
      <c r="B96" s="1569"/>
      <c r="C96" s="1290"/>
      <c r="D96" s="1307"/>
      <c r="E96" s="819" t="s">
        <v>696</v>
      </c>
      <c r="F96" s="818">
        <v>2500</v>
      </c>
      <c r="G96" s="65"/>
      <c r="H96" s="1290"/>
      <c r="I96" s="765"/>
      <c r="J96" s="1821"/>
      <c r="K96" s="765"/>
      <c r="L96" s="71"/>
      <c r="M96" s="765"/>
      <c r="N96" s="1821"/>
      <c r="O96" s="765"/>
      <c r="P96" s="1821"/>
      <c r="Q96" s="765"/>
      <c r="R96" s="71"/>
      <c r="S96" s="1821"/>
      <c r="T96" s="765"/>
      <c r="U96" s="765"/>
    </row>
    <row r="97" spans="1:21" ht="18.75">
      <c r="A97" s="1290"/>
      <c r="B97" s="755"/>
      <c r="C97" s="746"/>
      <c r="D97" s="749"/>
      <c r="E97" s="819" t="s">
        <v>697</v>
      </c>
      <c r="F97" s="818">
        <v>3000</v>
      </c>
      <c r="G97" s="65"/>
      <c r="H97" s="65"/>
      <c r="I97" s="765"/>
      <c r="J97" s="765"/>
      <c r="K97" s="765"/>
      <c r="L97" s="786"/>
      <c r="M97" s="765"/>
      <c r="N97" s="765"/>
      <c r="O97" s="765"/>
      <c r="P97" s="765"/>
      <c r="Q97" s="765"/>
      <c r="R97" s="786"/>
      <c r="S97" s="765"/>
      <c r="T97" s="765"/>
      <c r="U97" s="65"/>
    </row>
    <row r="98" spans="1:21" ht="37.5">
      <c r="A98" s="1290"/>
      <c r="B98" s="755"/>
      <c r="C98" s="746"/>
      <c r="D98" s="749"/>
      <c r="E98" s="819" t="s">
        <v>781</v>
      </c>
      <c r="F98" s="818">
        <v>10000</v>
      </c>
      <c r="G98" s="72"/>
      <c r="H98" s="329"/>
      <c r="I98" s="71"/>
      <c r="J98" s="71"/>
      <c r="K98" s="71"/>
      <c r="L98" s="786"/>
      <c r="M98" s="71"/>
      <c r="N98" s="71"/>
      <c r="O98" s="71"/>
      <c r="P98" s="71"/>
      <c r="Q98" s="71"/>
      <c r="R98" s="786"/>
      <c r="S98" s="71"/>
      <c r="T98" s="788"/>
      <c r="U98" s="752"/>
    </row>
    <row r="99" spans="1:21" ht="18.75">
      <c r="A99" s="1290"/>
      <c r="B99" s="755"/>
      <c r="C99" s="746"/>
      <c r="D99" s="749"/>
      <c r="E99" s="820" t="s">
        <v>764</v>
      </c>
      <c r="F99" s="818">
        <v>7200</v>
      </c>
      <c r="G99" s="72"/>
      <c r="H99" s="329"/>
      <c r="I99" s="71"/>
      <c r="J99" s="71"/>
      <c r="K99" s="71"/>
      <c r="L99" s="786"/>
      <c r="M99" s="71"/>
      <c r="N99" s="71"/>
      <c r="O99" s="71"/>
      <c r="P99" s="71"/>
      <c r="Q99" s="71"/>
      <c r="R99" s="786"/>
      <c r="S99" s="71"/>
      <c r="T99" s="788"/>
      <c r="U99" s="752"/>
    </row>
    <row r="100" spans="1:21" ht="37.5">
      <c r="A100" s="1290"/>
      <c r="B100" s="755"/>
      <c r="C100" s="746"/>
      <c r="D100" s="749"/>
      <c r="E100" s="820" t="s">
        <v>782</v>
      </c>
      <c r="F100" s="818">
        <v>50700</v>
      </c>
      <c r="G100" s="72"/>
      <c r="H100" s="329"/>
      <c r="I100" s="71"/>
      <c r="J100" s="71"/>
      <c r="K100" s="71"/>
      <c r="L100" s="786"/>
      <c r="M100" s="71"/>
      <c r="N100" s="71"/>
      <c r="O100" s="71"/>
      <c r="P100" s="71"/>
      <c r="Q100" s="71"/>
      <c r="R100" s="786"/>
      <c r="S100" s="71"/>
      <c r="T100" s="788"/>
      <c r="U100" s="752"/>
    </row>
    <row r="101" spans="1:21" ht="56.25">
      <c r="A101" s="319"/>
      <c r="B101" s="754"/>
      <c r="C101" s="238"/>
      <c r="D101" s="241"/>
      <c r="E101" s="837" t="s">
        <v>783</v>
      </c>
      <c r="F101" s="825">
        <v>28000</v>
      </c>
      <c r="G101" s="70"/>
      <c r="H101" s="319"/>
      <c r="I101" s="759"/>
      <c r="J101" s="759"/>
      <c r="K101" s="759"/>
      <c r="L101" s="793"/>
      <c r="M101" s="759"/>
      <c r="N101" s="759"/>
      <c r="O101" s="759"/>
      <c r="P101" s="759"/>
      <c r="Q101" s="759"/>
      <c r="R101" s="793"/>
      <c r="S101" s="759"/>
      <c r="T101" s="794"/>
      <c r="U101" s="751"/>
    </row>
    <row r="102" spans="1:21" ht="37.5">
      <c r="A102" s="329"/>
      <c r="B102" s="755"/>
      <c r="C102" s="746"/>
      <c r="D102" s="749"/>
      <c r="E102" s="820" t="s">
        <v>784</v>
      </c>
      <c r="F102" s="818">
        <v>12000</v>
      </c>
      <c r="G102" s="72"/>
      <c r="H102" s="329"/>
      <c r="I102" s="71"/>
      <c r="J102" s="71"/>
      <c r="K102" s="71"/>
      <c r="L102" s="786"/>
      <c r="M102" s="71"/>
      <c r="N102" s="71"/>
      <c r="O102" s="71"/>
      <c r="P102" s="71"/>
      <c r="Q102" s="71"/>
      <c r="R102" s="786"/>
      <c r="S102" s="71"/>
      <c r="T102" s="788"/>
      <c r="U102" s="752"/>
    </row>
    <row r="103" spans="1:21" ht="56.25">
      <c r="A103" s="329"/>
      <c r="B103" s="755"/>
      <c r="C103" s="746"/>
      <c r="D103" s="749"/>
      <c r="E103" s="820" t="s">
        <v>785</v>
      </c>
      <c r="F103" s="818">
        <v>2400</v>
      </c>
      <c r="G103" s="72"/>
      <c r="H103" s="329"/>
      <c r="I103" s="71"/>
      <c r="J103" s="71"/>
      <c r="K103" s="71"/>
      <c r="L103" s="786"/>
      <c r="M103" s="71"/>
      <c r="N103" s="71"/>
      <c r="O103" s="71"/>
      <c r="P103" s="71"/>
      <c r="Q103" s="71"/>
      <c r="R103" s="786"/>
      <c r="S103" s="71"/>
      <c r="T103" s="788"/>
      <c r="U103" s="752"/>
    </row>
    <row r="104" spans="1:21" ht="18.75">
      <c r="A104" s="307"/>
      <c r="B104" s="756"/>
      <c r="C104" s="239"/>
      <c r="D104" s="750"/>
      <c r="E104" s="822" t="s">
        <v>702</v>
      </c>
      <c r="F104" s="823">
        <f>SUM(F93:F103)</f>
        <v>143300</v>
      </c>
      <c r="G104" s="73"/>
      <c r="H104" s="307"/>
      <c r="I104" s="760"/>
      <c r="J104" s="760"/>
      <c r="K104" s="760"/>
      <c r="L104" s="789"/>
      <c r="M104" s="760"/>
      <c r="N104" s="760"/>
      <c r="O104" s="760"/>
      <c r="P104" s="760"/>
      <c r="Q104" s="760"/>
      <c r="R104" s="789"/>
      <c r="S104" s="760"/>
      <c r="T104" s="790"/>
      <c r="U104" s="52"/>
    </row>
    <row r="105" spans="1:21" ht="18.75">
      <c r="A105" s="1849" t="s">
        <v>786</v>
      </c>
      <c r="B105" s="1850"/>
      <c r="C105" s="1850"/>
      <c r="D105" s="1850"/>
      <c r="E105" s="1850"/>
      <c r="F105" s="1850"/>
      <c r="G105" s="1850"/>
      <c r="H105" s="1850"/>
      <c r="I105" s="1850"/>
      <c r="J105" s="1850"/>
      <c r="K105" s="1850"/>
      <c r="L105" s="1850"/>
      <c r="M105" s="1850"/>
      <c r="N105" s="1850"/>
      <c r="O105" s="1850"/>
      <c r="P105" s="1850"/>
      <c r="Q105" s="1850"/>
      <c r="R105" s="1850"/>
      <c r="S105" s="1850"/>
      <c r="T105" s="1850"/>
      <c r="U105" s="836"/>
    </row>
    <row r="106" spans="1:21" ht="93.75">
      <c r="A106" s="1289" t="s">
        <v>787</v>
      </c>
      <c r="B106" s="238" t="s">
        <v>788</v>
      </c>
      <c r="C106" s="831" t="s">
        <v>789</v>
      </c>
      <c r="D106" s="831" t="s">
        <v>790</v>
      </c>
      <c r="E106" s="824" t="s">
        <v>791</v>
      </c>
      <c r="F106" s="838">
        <v>300480</v>
      </c>
      <c r="G106" s="826" t="s">
        <v>691</v>
      </c>
      <c r="H106" s="833" t="s">
        <v>722</v>
      </c>
      <c r="I106" s="791"/>
      <c r="J106" s="776"/>
      <c r="K106" s="776">
        <v>50000</v>
      </c>
      <c r="L106" s="776">
        <v>50000</v>
      </c>
      <c r="M106" s="776">
        <v>50000</v>
      </c>
      <c r="N106" s="776">
        <v>100000</v>
      </c>
      <c r="O106" s="776">
        <v>30000</v>
      </c>
      <c r="P106" s="776">
        <v>20480</v>
      </c>
      <c r="Q106" s="776"/>
      <c r="R106" s="776"/>
      <c r="S106" s="759"/>
      <c r="T106" s="791"/>
      <c r="U106" s="747" t="s">
        <v>693</v>
      </c>
    </row>
    <row r="107" spans="1:21" ht="18.75">
      <c r="A107" s="1291"/>
      <c r="B107" s="756"/>
      <c r="C107" s="239"/>
      <c r="D107" s="750"/>
      <c r="E107" s="822" t="s">
        <v>702</v>
      </c>
      <c r="F107" s="823">
        <f>SUM(F106:F106)</f>
        <v>300480</v>
      </c>
      <c r="G107" s="73"/>
      <c r="H107" s="307"/>
      <c r="I107" s="760"/>
      <c r="J107" s="760"/>
      <c r="K107" s="760"/>
      <c r="L107" s="789"/>
      <c r="M107" s="760"/>
      <c r="N107" s="760"/>
      <c r="O107" s="760"/>
      <c r="P107" s="760"/>
      <c r="Q107" s="760"/>
      <c r="R107" s="789"/>
      <c r="S107" s="760"/>
      <c r="T107" s="790"/>
      <c r="U107" s="52"/>
    </row>
    <row r="108" spans="1:21" ht="93.75">
      <c r="A108" s="240" t="s">
        <v>792</v>
      </c>
      <c r="B108" s="240" t="s">
        <v>793</v>
      </c>
      <c r="C108" s="839" t="s">
        <v>794</v>
      </c>
      <c r="D108" s="839" t="s">
        <v>790</v>
      </c>
      <c r="E108" s="840"/>
      <c r="F108" s="841"/>
      <c r="G108" s="842"/>
      <c r="H108" s="830" t="s">
        <v>722</v>
      </c>
      <c r="I108" s="795"/>
      <c r="J108" s="796"/>
      <c r="K108" s="796"/>
      <c r="L108" s="796"/>
      <c r="M108" s="796"/>
      <c r="N108" s="796"/>
      <c r="O108" s="796"/>
      <c r="P108" s="796"/>
      <c r="Q108" s="796"/>
      <c r="R108" s="796"/>
      <c r="S108" s="763"/>
      <c r="T108" s="795"/>
      <c r="U108" s="303" t="s">
        <v>693</v>
      </c>
    </row>
    <row r="109" spans="1:21" ht="18.75">
      <c r="A109" s="1840" t="s">
        <v>795</v>
      </c>
      <c r="B109" s="1841"/>
      <c r="C109" s="1841"/>
      <c r="D109" s="1841"/>
      <c r="E109" s="1841"/>
      <c r="F109" s="1841"/>
      <c r="G109" s="1841"/>
      <c r="H109" s="1841"/>
      <c r="I109" s="1841"/>
      <c r="J109" s="1841"/>
      <c r="K109" s="1841"/>
      <c r="L109" s="1841"/>
      <c r="M109" s="1841"/>
      <c r="N109" s="1841"/>
      <c r="O109" s="1841"/>
      <c r="P109" s="1841"/>
      <c r="Q109" s="1841"/>
      <c r="R109" s="1841"/>
      <c r="S109" s="1841"/>
      <c r="T109" s="1841"/>
      <c r="U109" s="836"/>
    </row>
    <row r="110" spans="1:21" ht="56.25">
      <c r="A110" s="1289" t="s">
        <v>796</v>
      </c>
      <c r="B110" s="1568" t="s">
        <v>766</v>
      </c>
      <c r="C110" s="1290" t="s">
        <v>759</v>
      </c>
      <c r="D110" s="1307" t="s">
        <v>797</v>
      </c>
      <c r="E110" s="819" t="s">
        <v>768</v>
      </c>
      <c r="F110" s="818">
        <v>25000</v>
      </c>
      <c r="G110" s="761" t="s">
        <v>691</v>
      </c>
      <c r="H110" s="1862">
        <v>22586</v>
      </c>
      <c r="I110" s="773"/>
      <c r="J110" s="1828">
        <v>94500</v>
      </c>
      <c r="K110" s="1821"/>
      <c r="L110" s="71"/>
      <c r="M110" s="773"/>
      <c r="N110" s="1828"/>
      <c r="O110" s="773"/>
      <c r="P110" s="1828"/>
      <c r="Q110" s="773"/>
      <c r="R110" s="71"/>
      <c r="S110" s="1828"/>
      <c r="T110" s="773"/>
      <c r="U110" s="843" t="s">
        <v>709</v>
      </c>
    </row>
    <row r="111" spans="1:21" ht="37.5">
      <c r="A111" s="1290"/>
      <c r="B111" s="1569"/>
      <c r="C111" s="1290"/>
      <c r="D111" s="1307"/>
      <c r="E111" s="819" t="s">
        <v>769</v>
      </c>
      <c r="F111" s="818">
        <v>15000</v>
      </c>
      <c r="G111" s="761"/>
      <c r="H111" s="1290"/>
      <c r="I111" s="773"/>
      <c r="J111" s="1821"/>
      <c r="K111" s="1821"/>
      <c r="L111" s="71"/>
      <c r="M111" s="773"/>
      <c r="N111" s="1821"/>
      <c r="O111" s="773"/>
      <c r="P111" s="1821"/>
      <c r="Q111" s="773"/>
      <c r="R111" s="71"/>
      <c r="S111" s="1821"/>
      <c r="T111" s="773"/>
      <c r="U111" s="773"/>
    </row>
    <row r="112" spans="1:21" ht="37.5">
      <c r="A112" s="1290"/>
      <c r="B112" s="1569"/>
      <c r="C112" s="1290"/>
      <c r="D112" s="1307"/>
      <c r="E112" s="819" t="s">
        <v>770</v>
      </c>
      <c r="F112" s="818">
        <v>10000</v>
      </c>
      <c r="G112" s="746"/>
      <c r="H112" s="1290"/>
      <c r="I112" s="785"/>
      <c r="J112" s="1821"/>
      <c r="K112" s="785"/>
      <c r="L112" s="71"/>
      <c r="M112" s="785"/>
      <c r="N112" s="1821"/>
      <c r="O112" s="785"/>
      <c r="P112" s="1821"/>
      <c r="Q112" s="785"/>
      <c r="R112" s="71"/>
      <c r="S112" s="1821"/>
      <c r="T112" s="785"/>
      <c r="U112" s="785"/>
    </row>
    <row r="113" spans="1:21" ht="18.75">
      <c r="A113" s="1290"/>
      <c r="B113" s="1569"/>
      <c r="C113" s="1290"/>
      <c r="D113" s="1307"/>
      <c r="E113" s="819" t="s">
        <v>696</v>
      </c>
      <c r="F113" s="818">
        <v>2500</v>
      </c>
      <c r="G113" s="65"/>
      <c r="H113" s="1290"/>
      <c r="I113" s="765"/>
      <c r="J113" s="1821"/>
      <c r="K113" s="765"/>
      <c r="L113" s="71"/>
      <c r="M113" s="765"/>
      <c r="N113" s="1821"/>
      <c r="O113" s="765"/>
      <c r="P113" s="1821"/>
      <c r="Q113" s="765"/>
      <c r="R113" s="71"/>
      <c r="S113" s="1821"/>
      <c r="T113" s="765"/>
      <c r="U113" s="765"/>
    </row>
    <row r="114" spans="1:21" ht="18.75">
      <c r="A114" s="1291"/>
      <c r="B114" s="756"/>
      <c r="C114" s="239"/>
      <c r="D114" s="750"/>
      <c r="E114" s="844" t="s">
        <v>697</v>
      </c>
      <c r="F114" s="845">
        <v>3000</v>
      </c>
      <c r="G114" s="764"/>
      <c r="H114" s="764"/>
      <c r="I114" s="770"/>
      <c r="J114" s="770"/>
      <c r="K114" s="770"/>
      <c r="L114" s="789"/>
      <c r="M114" s="770"/>
      <c r="N114" s="770"/>
      <c r="O114" s="770"/>
      <c r="P114" s="770"/>
      <c r="Q114" s="770"/>
      <c r="R114" s="789"/>
      <c r="S114" s="770"/>
      <c r="T114" s="770"/>
      <c r="U114" s="764"/>
    </row>
    <row r="115" spans="1:21" ht="37.5">
      <c r="A115" s="319"/>
      <c r="B115" s="754"/>
      <c r="C115" s="238"/>
      <c r="D115" s="241"/>
      <c r="E115" s="824" t="s">
        <v>781</v>
      </c>
      <c r="F115" s="825">
        <v>10000</v>
      </c>
      <c r="G115" s="70"/>
      <c r="H115" s="319"/>
      <c r="I115" s="759"/>
      <c r="J115" s="759"/>
      <c r="K115" s="759"/>
      <c r="L115" s="793"/>
      <c r="M115" s="759"/>
      <c r="N115" s="759"/>
      <c r="O115" s="759"/>
      <c r="P115" s="759"/>
      <c r="Q115" s="759"/>
      <c r="R115" s="793"/>
      <c r="S115" s="759"/>
      <c r="T115" s="794"/>
      <c r="U115" s="751"/>
    </row>
    <row r="116" spans="1:21" ht="18.75">
      <c r="A116" s="329"/>
      <c r="B116" s="755"/>
      <c r="C116" s="746"/>
      <c r="D116" s="749"/>
      <c r="E116" s="820" t="s">
        <v>764</v>
      </c>
      <c r="F116" s="818">
        <v>20400</v>
      </c>
      <c r="G116" s="72"/>
      <c r="H116" s="329"/>
      <c r="I116" s="71"/>
      <c r="J116" s="71"/>
      <c r="K116" s="71"/>
      <c r="L116" s="786"/>
      <c r="M116" s="71"/>
      <c r="N116" s="71"/>
      <c r="O116" s="71"/>
      <c r="P116" s="71"/>
      <c r="Q116" s="71"/>
      <c r="R116" s="786"/>
      <c r="S116" s="71"/>
      <c r="T116" s="788"/>
      <c r="U116" s="752"/>
    </row>
    <row r="117" spans="1:21" ht="37.5">
      <c r="A117" s="329"/>
      <c r="B117" s="755"/>
      <c r="C117" s="746"/>
      <c r="D117" s="749"/>
      <c r="E117" s="820" t="s">
        <v>798</v>
      </c>
      <c r="F117" s="818">
        <v>3600</v>
      </c>
      <c r="G117" s="72"/>
      <c r="H117" s="329"/>
      <c r="I117" s="71"/>
      <c r="J117" s="71"/>
      <c r="K117" s="71"/>
      <c r="L117" s="786"/>
      <c r="M117" s="71"/>
      <c r="N117" s="71"/>
      <c r="O117" s="71"/>
      <c r="P117" s="71"/>
      <c r="Q117" s="71"/>
      <c r="R117" s="786"/>
      <c r="S117" s="71"/>
      <c r="T117" s="788"/>
      <c r="U117" s="752"/>
    </row>
    <row r="118" spans="1:21" ht="18.75">
      <c r="A118" s="329"/>
      <c r="B118" s="755"/>
      <c r="C118" s="746"/>
      <c r="D118" s="749"/>
      <c r="E118" s="820" t="s">
        <v>799</v>
      </c>
      <c r="F118" s="818">
        <v>5000</v>
      </c>
      <c r="G118" s="72"/>
      <c r="H118" s="329"/>
      <c r="I118" s="71"/>
      <c r="J118" s="71"/>
      <c r="K118" s="71"/>
      <c r="L118" s="786"/>
      <c r="M118" s="71"/>
      <c r="N118" s="71"/>
      <c r="O118" s="71"/>
      <c r="P118" s="71"/>
      <c r="Q118" s="71"/>
      <c r="R118" s="786"/>
      <c r="S118" s="71"/>
      <c r="T118" s="788"/>
      <c r="U118" s="752"/>
    </row>
    <row r="119" spans="1:21" ht="18.75">
      <c r="A119" s="307"/>
      <c r="B119" s="756"/>
      <c r="C119" s="239"/>
      <c r="D119" s="750"/>
      <c r="E119" s="822" t="s">
        <v>702</v>
      </c>
      <c r="F119" s="823">
        <f>SUM(F110:F118)</f>
        <v>94500</v>
      </c>
      <c r="G119" s="73"/>
      <c r="H119" s="307"/>
      <c r="I119" s="760"/>
      <c r="J119" s="760"/>
      <c r="K119" s="760"/>
      <c r="L119" s="789"/>
      <c r="M119" s="760"/>
      <c r="N119" s="760"/>
      <c r="O119" s="760"/>
      <c r="P119" s="760"/>
      <c r="Q119" s="760"/>
      <c r="R119" s="789"/>
      <c r="S119" s="760"/>
      <c r="T119" s="790"/>
      <c r="U119" s="52"/>
    </row>
    <row r="120" spans="1:21" ht="75">
      <c r="A120" s="1289" t="s">
        <v>800</v>
      </c>
      <c r="B120" s="238" t="s">
        <v>801</v>
      </c>
      <c r="C120" s="831" t="s">
        <v>802</v>
      </c>
      <c r="D120" s="831" t="s">
        <v>803</v>
      </c>
      <c r="E120" s="824" t="s">
        <v>804</v>
      </c>
      <c r="F120" s="838">
        <v>60000</v>
      </c>
      <c r="G120" s="826"/>
      <c r="H120" s="833" t="s">
        <v>722</v>
      </c>
      <c r="I120" s="791"/>
      <c r="J120" s="776"/>
      <c r="K120" s="776"/>
      <c r="L120" s="776"/>
      <c r="M120" s="776"/>
      <c r="N120" s="776"/>
      <c r="O120" s="776"/>
      <c r="P120" s="776"/>
      <c r="Q120" s="776"/>
      <c r="R120" s="776"/>
      <c r="S120" s="759"/>
      <c r="T120" s="791"/>
      <c r="U120" s="747" t="s">
        <v>805</v>
      </c>
    </row>
    <row r="121" spans="1:21" ht="18.75">
      <c r="A121" s="1290"/>
      <c r="B121" s="746"/>
      <c r="C121" s="846"/>
      <c r="D121" s="847"/>
      <c r="E121" s="817" t="s">
        <v>806</v>
      </c>
      <c r="F121" s="832"/>
      <c r="G121" s="761"/>
      <c r="H121" s="753"/>
      <c r="I121" s="773"/>
      <c r="J121" s="772"/>
      <c r="K121" s="772"/>
      <c r="L121" s="797"/>
      <c r="M121" s="772"/>
      <c r="N121" s="772"/>
      <c r="O121" s="772"/>
      <c r="P121" s="772"/>
      <c r="Q121" s="772"/>
      <c r="R121" s="797"/>
      <c r="S121" s="71"/>
      <c r="T121" s="787"/>
      <c r="U121" s="748"/>
    </row>
    <row r="122" spans="1:21" ht="75">
      <c r="A122" s="1290"/>
      <c r="B122" s="746"/>
      <c r="C122" s="846"/>
      <c r="D122" s="847"/>
      <c r="E122" s="817" t="s">
        <v>1456</v>
      </c>
      <c r="F122" s="832">
        <v>12600</v>
      </c>
      <c r="G122" s="761"/>
      <c r="H122" s="753"/>
      <c r="I122" s="773"/>
      <c r="J122" s="772"/>
      <c r="K122" s="772"/>
      <c r="L122" s="797"/>
      <c r="M122" s="772"/>
      <c r="N122" s="772"/>
      <c r="O122" s="772"/>
      <c r="P122" s="772"/>
      <c r="Q122" s="772"/>
      <c r="R122" s="797"/>
      <c r="S122" s="71"/>
      <c r="T122" s="787"/>
      <c r="U122" s="748"/>
    </row>
    <row r="123" spans="1:21" ht="18.75">
      <c r="A123" s="1291"/>
      <c r="B123" s="756"/>
      <c r="C123" s="239"/>
      <c r="D123" s="750"/>
      <c r="E123" s="848" t="s">
        <v>702</v>
      </c>
      <c r="F123" s="849">
        <f>SUM(F120:F122)</f>
        <v>72600</v>
      </c>
      <c r="G123" s="73"/>
      <c r="H123" s="307"/>
      <c r="I123" s="760"/>
      <c r="J123" s="760"/>
      <c r="K123" s="760"/>
      <c r="L123" s="789"/>
      <c r="M123" s="760"/>
      <c r="N123" s="760"/>
      <c r="O123" s="760"/>
      <c r="P123" s="760"/>
      <c r="Q123" s="760"/>
      <c r="R123" s="789"/>
      <c r="S123" s="760"/>
      <c r="T123" s="790"/>
      <c r="U123" s="52"/>
    </row>
    <row r="124" spans="1:21" ht="112.5">
      <c r="A124" s="850" t="s">
        <v>807</v>
      </c>
      <c r="B124" s="67" t="s">
        <v>808</v>
      </c>
      <c r="C124" s="851" t="s">
        <v>802</v>
      </c>
      <c r="D124" s="67" t="s">
        <v>803</v>
      </c>
      <c r="E124" s="840"/>
      <c r="F124" s="841"/>
      <c r="G124" s="842"/>
      <c r="H124" s="830" t="s">
        <v>722</v>
      </c>
      <c r="I124" s="795"/>
      <c r="J124" s="796"/>
      <c r="K124" s="796"/>
      <c r="L124" s="796"/>
      <c r="M124" s="796"/>
      <c r="N124" s="796"/>
      <c r="O124" s="796"/>
      <c r="P124" s="796"/>
      <c r="Q124" s="796"/>
      <c r="R124" s="796"/>
      <c r="S124" s="763"/>
      <c r="T124" s="795"/>
      <c r="U124" s="303" t="s">
        <v>809</v>
      </c>
    </row>
    <row r="125" spans="1:21" ht="18.75">
      <c r="A125" s="1859" t="s">
        <v>810</v>
      </c>
      <c r="B125" s="1859"/>
      <c r="C125" s="1859"/>
      <c r="D125" s="1859"/>
      <c r="E125" s="1859"/>
      <c r="F125" s="1860">
        <f>F123+F119+F107+F104+F92+F81+F75+F70+F61+F57+F52+F49+F44+F40</f>
        <v>4000650</v>
      </c>
      <c r="G125" s="1860"/>
      <c r="H125" s="1860"/>
      <c r="I125" s="798"/>
      <c r="J125" s="799"/>
      <c r="K125" s="799"/>
      <c r="L125" s="799"/>
      <c r="M125" s="799"/>
      <c r="N125" s="799"/>
      <c r="O125" s="799"/>
      <c r="P125" s="799"/>
      <c r="Q125" s="799"/>
      <c r="R125" s="799"/>
      <c r="S125" s="799"/>
      <c r="T125" s="799"/>
      <c r="U125" s="852"/>
    </row>
    <row r="126" spans="1:21" s="816" customFormat="1" ht="18.75">
      <c r="A126" s="1837" t="s">
        <v>811</v>
      </c>
      <c r="B126" s="1838"/>
      <c r="C126" s="1838"/>
      <c r="D126" s="1838"/>
      <c r="E126" s="1838"/>
      <c r="F126" s="1838"/>
      <c r="G126" s="1838"/>
      <c r="H126" s="1838"/>
      <c r="I126" s="1838"/>
      <c r="J126" s="1838"/>
      <c r="K126" s="1838"/>
      <c r="L126" s="1838"/>
      <c r="M126" s="1838"/>
      <c r="N126" s="1838"/>
      <c r="O126" s="1838"/>
      <c r="P126" s="1838"/>
      <c r="Q126" s="1838"/>
      <c r="R126" s="1838"/>
      <c r="S126" s="1838"/>
      <c r="T126" s="1839"/>
      <c r="U126" s="319"/>
    </row>
    <row r="127" spans="1:21" ht="18.75">
      <c r="A127" s="1840" t="s">
        <v>812</v>
      </c>
      <c r="B127" s="1841"/>
      <c r="C127" s="1841"/>
      <c r="D127" s="1841"/>
      <c r="E127" s="1841"/>
      <c r="F127" s="1841"/>
      <c r="G127" s="1841"/>
      <c r="H127" s="1841"/>
      <c r="I127" s="1841"/>
      <c r="J127" s="1841"/>
      <c r="K127" s="1841"/>
      <c r="L127" s="1841"/>
      <c r="M127" s="1841"/>
      <c r="N127" s="1841"/>
      <c r="O127" s="1841"/>
      <c r="P127" s="1841"/>
      <c r="Q127" s="1841"/>
      <c r="R127" s="1841"/>
      <c r="S127" s="1841"/>
      <c r="T127" s="1842"/>
      <c r="U127" s="329"/>
    </row>
    <row r="128" spans="1:21" ht="56.25">
      <c r="A128" s="1815" t="s">
        <v>813</v>
      </c>
      <c r="B128" s="1815" t="s">
        <v>814</v>
      </c>
      <c r="C128" s="1815" t="s">
        <v>815</v>
      </c>
      <c r="D128" s="1858" t="s">
        <v>816</v>
      </c>
      <c r="E128" s="966" t="s">
        <v>817</v>
      </c>
      <c r="F128" s="967">
        <v>9000</v>
      </c>
      <c r="G128" s="968" t="s">
        <v>77</v>
      </c>
      <c r="H128" s="1815" t="s">
        <v>818</v>
      </c>
      <c r="I128" s="968"/>
      <c r="J128" s="1819">
        <v>51000</v>
      </c>
      <c r="K128" s="968"/>
      <c r="L128" s="969"/>
      <c r="M128" s="968"/>
      <c r="N128" s="1819"/>
      <c r="O128" s="968"/>
      <c r="P128" s="1819"/>
      <c r="Q128" s="968"/>
      <c r="R128" s="969"/>
      <c r="S128" s="1819"/>
      <c r="T128" s="968"/>
      <c r="U128" s="1854" t="s">
        <v>819</v>
      </c>
    </row>
    <row r="129" spans="1:21" ht="56.25">
      <c r="A129" s="1816"/>
      <c r="B129" s="1816"/>
      <c r="C129" s="1816"/>
      <c r="D129" s="1858"/>
      <c r="E129" s="966" t="s">
        <v>820</v>
      </c>
      <c r="F129" s="967">
        <v>6000</v>
      </c>
      <c r="G129" s="968"/>
      <c r="H129" s="1816"/>
      <c r="I129" s="968"/>
      <c r="J129" s="1820"/>
      <c r="K129" s="968"/>
      <c r="L129" s="969"/>
      <c r="M129" s="968"/>
      <c r="N129" s="1820"/>
      <c r="O129" s="968"/>
      <c r="P129" s="1820"/>
      <c r="Q129" s="968"/>
      <c r="R129" s="969"/>
      <c r="S129" s="1820"/>
      <c r="T129" s="968"/>
      <c r="U129" s="1854"/>
    </row>
    <row r="130" spans="1:21" ht="56.25">
      <c r="A130" s="1816"/>
      <c r="B130" s="1816"/>
      <c r="C130" s="1816"/>
      <c r="D130" s="1858"/>
      <c r="E130" s="966" t="s">
        <v>821</v>
      </c>
      <c r="F130" s="967">
        <v>1600</v>
      </c>
      <c r="G130" s="970"/>
      <c r="H130" s="1816"/>
      <c r="I130" s="970"/>
      <c r="J130" s="1820"/>
      <c r="K130" s="970"/>
      <c r="L130" s="969"/>
      <c r="M130" s="970"/>
      <c r="N130" s="1820"/>
      <c r="O130" s="970"/>
      <c r="P130" s="1820"/>
      <c r="Q130" s="970"/>
      <c r="R130" s="969"/>
      <c r="S130" s="1820"/>
      <c r="T130" s="970"/>
      <c r="U130" s="970"/>
    </row>
    <row r="131" spans="1:21" ht="18.75">
      <c r="A131" s="1816"/>
      <c r="B131" s="1816"/>
      <c r="C131" s="1816"/>
      <c r="D131" s="1858"/>
      <c r="E131" s="966" t="s">
        <v>822</v>
      </c>
      <c r="F131" s="967"/>
      <c r="G131" s="957"/>
      <c r="H131" s="1816"/>
      <c r="I131" s="957"/>
      <c r="J131" s="1820"/>
      <c r="K131" s="957"/>
      <c r="L131" s="969"/>
      <c r="M131" s="957"/>
      <c r="N131" s="1820"/>
      <c r="O131" s="957"/>
      <c r="P131" s="1820"/>
      <c r="Q131" s="957"/>
      <c r="R131" s="969"/>
      <c r="S131" s="1820"/>
      <c r="T131" s="957"/>
      <c r="U131" s="957"/>
    </row>
    <row r="132" spans="1:21" ht="37.5">
      <c r="A132" s="1816"/>
      <c r="B132" s="970"/>
      <c r="C132" s="970"/>
      <c r="D132" s="971"/>
      <c r="E132" s="966" t="s">
        <v>823</v>
      </c>
      <c r="F132" s="972">
        <v>15000</v>
      </c>
      <c r="G132" s="957"/>
      <c r="H132" s="957"/>
      <c r="I132" s="957"/>
      <c r="J132" s="957"/>
      <c r="K132" s="957"/>
      <c r="L132" s="973"/>
      <c r="M132" s="957"/>
      <c r="N132" s="957"/>
      <c r="O132" s="957"/>
      <c r="P132" s="957"/>
      <c r="Q132" s="957"/>
      <c r="R132" s="973"/>
      <c r="S132" s="957"/>
      <c r="T132" s="957"/>
      <c r="U132" s="957"/>
    </row>
    <row r="133" spans="1:21" ht="56.25">
      <c r="A133" s="1816"/>
      <c r="B133" s="970"/>
      <c r="C133" s="970"/>
      <c r="D133" s="971"/>
      <c r="E133" s="970" t="s">
        <v>824</v>
      </c>
      <c r="F133" s="974">
        <v>9000</v>
      </c>
      <c r="G133" s="957"/>
      <c r="H133" s="957"/>
      <c r="I133" s="957"/>
      <c r="J133" s="957"/>
      <c r="K133" s="957"/>
      <c r="L133" s="973"/>
      <c r="M133" s="957"/>
      <c r="N133" s="957"/>
      <c r="O133" s="957"/>
      <c r="P133" s="957"/>
      <c r="Q133" s="957"/>
      <c r="R133" s="973"/>
      <c r="S133" s="957"/>
      <c r="T133" s="957"/>
      <c r="U133" s="957"/>
    </row>
    <row r="134" spans="1:21" ht="37.5">
      <c r="A134" s="1816"/>
      <c r="B134" s="970"/>
      <c r="C134" s="970"/>
      <c r="D134" s="971"/>
      <c r="E134" s="970" t="s">
        <v>825</v>
      </c>
      <c r="F134" s="975">
        <v>6000</v>
      </c>
      <c r="G134" s="957"/>
      <c r="H134" s="957"/>
      <c r="I134" s="957"/>
      <c r="J134" s="957"/>
      <c r="K134" s="957"/>
      <c r="L134" s="973"/>
      <c r="M134" s="957"/>
      <c r="N134" s="957"/>
      <c r="O134" s="957"/>
      <c r="P134" s="957"/>
      <c r="Q134" s="957"/>
      <c r="R134" s="973"/>
      <c r="S134" s="957"/>
      <c r="T134" s="957"/>
      <c r="U134" s="957"/>
    </row>
    <row r="135" spans="1:21" ht="37.5">
      <c r="A135" s="1816"/>
      <c r="B135" s="970"/>
      <c r="C135" s="970"/>
      <c r="D135" s="971"/>
      <c r="E135" s="970" t="s">
        <v>826</v>
      </c>
      <c r="F135" s="975">
        <v>4500</v>
      </c>
      <c r="G135" s="957"/>
      <c r="H135" s="957"/>
      <c r="I135" s="957"/>
      <c r="J135" s="957"/>
      <c r="K135" s="957"/>
      <c r="L135" s="973"/>
      <c r="M135" s="957"/>
      <c r="N135" s="957"/>
      <c r="O135" s="957"/>
      <c r="P135" s="957"/>
      <c r="Q135" s="957"/>
      <c r="R135" s="973"/>
      <c r="S135" s="957"/>
      <c r="T135" s="957"/>
      <c r="U135" s="957"/>
    </row>
    <row r="136" spans="1:21" ht="18.75">
      <c r="A136" s="1861"/>
      <c r="B136" s="976"/>
      <c r="C136" s="976"/>
      <c r="D136" s="977"/>
      <c r="E136" s="978" t="s">
        <v>702</v>
      </c>
      <c r="F136" s="979">
        <f>SUM(F128:F135)</f>
        <v>51100</v>
      </c>
      <c r="G136" s="980"/>
      <c r="H136" s="981"/>
      <c r="I136" s="980"/>
      <c r="J136" s="980"/>
      <c r="K136" s="980"/>
      <c r="L136" s="982"/>
      <c r="M136" s="980"/>
      <c r="N136" s="980"/>
      <c r="O136" s="980"/>
      <c r="P136" s="980"/>
      <c r="Q136" s="980"/>
      <c r="R136" s="982"/>
      <c r="S136" s="980"/>
      <c r="T136" s="983"/>
      <c r="U136" s="984"/>
    </row>
    <row r="137" spans="1:21" ht="37.5">
      <c r="A137" s="1855" t="s">
        <v>827</v>
      </c>
      <c r="B137" s="1855" t="s">
        <v>828</v>
      </c>
      <c r="C137" s="1855" t="s">
        <v>829</v>
      </c>
      <c r="D137" s="1855" t="s">
        <v>830</v>
      </c>
      <c r="E137" s="985" t="s">
        <v>831</v>
      </c>
      <c r="F137" s="986"/>
      <c r="G137" s="987" t="s">
        <v>77</v>
      </c>
      <c r="H137" s="1855" t="s">
        <v>832</v>
      </c>
      <c r="I137" s="988"/>
      <c r="J137" s="1819">
        <v>21600</v>
      </c>
      <c r="K137" s="1819">
        <v>37500</v>
      </c>
      <c r="L137" s="1819"/>
      <c r="M137" s="1819"/>
      <c r="N137" s="1819"/>
      <c r="O137" s="1819"/>
      <c r="P137" s="1819"/>
      <c r="Q137" s="1819"/>
      <c r="R137" s="1819"/>
      <c r="S137" s="1819"/>
      <c r="T137" s="1819"/>
      <c r="U137" s="1813" t="s">
        <v>819</v>
      </c>
    </row>
    <row r="138" spans="1:21" ht="37.5">
      <c r="A138" s="1854"/>
      <c r="B138" s="1854"/>
      <c r="C138" s="1854"/>
      <c r="D138" s="1854"/>
      <c r="E138" s="989" t="s">
        <v>833</v>
      </c>
      <c r="F138" s="967">
        <v>14400</v>
      </c>
      <c r="G138" s="990"/>
      <c r="H138" s="1854"/>
      <c r="I138" s="968"/>
      <c r="J138" s="1820"/>
      <c r="K138" s="1820"/>
      <c r="L138" s="1820"/>
      <c r="M138" s="1820"/>
      <c r="N138" s="1820"/>
      <c r="O138" s="1820"/>
      <c r="P138" s="1820"/>
      <c r="Q138" s="1820"/>
      <c r="R138" s="1820"/>
      <c r="S138" s="1820"/>
      <c r="T138" s="1820"/>
      <c r="U138" s="1814"/>
    </row>
    <row r="139" spans="1:21" ht="37.5">
      <c r="A139" s="1854"/>
      <c r="B139" s="1854"/>
      <c r="C139" s="1854"/>
      <c r="D139" s="1854"/>
      <c r="E139" s="989" t="s">
        <v>834</v>
      </c>
      <c r="F139" s="967">
        <v>7200</v>
      </c>
      <c r="G139" s="990"/>
      <c r="H139" s="1854"/>
      <c r="I139" s="968"/>
      <c r="J139" s="1820"/>
      <c r="K139" s="1820"/>
      <c r="L139" s="1820"/>
      <c r="M139" s="1820"/>
      <c r="N139" s="1820"/>
      <c r="O139" s="1820"/>
      <c r="P139" s="1820"/>
      <c r="Q139" s="1820"/>
      <c r="R139" s="1820"/>
      <c r="S139" s="1820"/>
      <c r="T139" s="1820"/>
      <c r="U139" s="961"/>
    </row>
    <row r="140" spans="1:21" ht="37.5">
      <c r="A140" s="1854"/>
      <c r="B140" s="1854"/>
      <c r="C140" s="1854"/>
      <c r="D140" s="1854"/>
      <c r="E140" s="991" t="s">
        <v>835</v>
      </c>
      <c r="F140" s="967"/>
      <c r="G140" s="990"/>
      <c r="H140" s="1854"/>
      <c r="I140" s="968"/>
      <c r="J140" s="1820"/>
      <c r="K140" s="1820"/>
      <c r="L140" s="1820"/>
      <c r="M140" s="1820"/>
      <c r="N140" s="1820"/>
      <c r="O140" s="1820"/>
      <c r="P140" s="1820"/>
      <c r="Q140" s="1820"/>
      <c r="R140" s="1820"/>
      <c r="S140" s="1820"/>
      <c r="T140" s="1820"/>
      <c r="U140" s="961"/>
    </row>
    <row r="141" spans="1:21" ht="56.25">
      <c r="A141" s="1854"/>
      <c r="B141" s="1854"/>
      <c r="C141" s="1854"/>
      <c r="D141" s="1854"/>
      <c r="E141" s="989" t="s">
        <v>836</v>
      </c>
      <c r="F141" s="967">
        <v>12000</v>
      </c>
      <c r="G141" s="990"/>
      <c r="H141" s="1854"/>
      <c r="I141" s="968"/>
      <c r="J141" s="1820"/>
      <c r="K141" s="1820"/>
      <c r="L141" s="1820"/>
      <c r="M141" s="1820"/>
      <c r="N141" s="1820"/>
      <c r="O141" s="1820"/>
      <c r="P141" s="1820"/>
      <c r="Q141" s="1820"/>
      <c r="R141" s="1820"/>
      <c r="S141" s="1820"/>
      <c r="T141" s="1820"/>
      <c r="U141" s="961"/>
    </row>
    <row r="142" spans="1:21" ht="56.25">
      <c r="A142" s="1854"/>
      <c r="B142" s="1854"/>
      <c r="C142" s="1854"/>
      <c r="D142" s="1854"/>
      <c r="E142" s="989" t="s">
        <v>837</v>
      </c>
      <c r="F142" s="967">
        <v>10500</v>
      </c>
      <c r="G142" s="990"/>
      <c r="H142" s="1854"/>
      <c r="I142" s="968"/>
      <c r="J142" s="1820"/>
      <c r="K142" s="1820"/>
      <c r="L142" s="1820"/>
      <c r="M142" s="1820"/>
      <c r="N142" s="1820"/>
      <c r="O142" s="1820"/>
      <c r="P142" s="1820"/>
      <c r="Q142" s="1820"/>
      <c r="R142" s="1820"/>
      <c r="S142" s="1820"/>
      <c r="T142" s="1820"/>
      <c r="U142" s="961"/>
    </row>
    <row r="143" spans="1:21" ht="56.25">
      <c r="A143" s="1854"/>
      <c r="B143" s="1854"/>
      <c r="C143" s="1854"/>
      <c r="D143" s="1854"/>
      <c r="E143" s="989" t="s">
        <v>838</v>
      </c>
      <c r="F143" s="967">
        <v>15000</v>
      </c>
      <c r="G143" s="990"/>
      <c r="H143" s="1854"/>
      <c r="I143" s="968"/>
      <c r="J143" s="1820"/>
      <c r="K143" s="1820"/>
      <c r="L143" s="1820"/>
      <c r="M143" s="1820"/>
      <c r="N143" s="1820"/>
      <c r="O143" s="1820"/>
      <c r="P143" s="1820"/>
      <c r="Q143" s="1820"/>
      <c r="R143" s="1820"/>
      <c r="S143" s="1820"/>
      <c r="T143" s="1820"/>
      <c r="U143" s="961"/>
    </row>
    <row r="144" spans="1:21" ht="18.75">
      <c r="A144" s="1856"/>
      <c r="B144" s="992"/>
      <c r="C144" s="992"/>
      <c r="D144" s="993"/>
      <c r="E144" s="994" t="s">
        <v>702</v>
      </c>
      <c r="F144" s="979">
        <f>SUM(F137:F143)</f>
        <v>59100</v>
      </c>
      <c r="G144" s="995"/>
      <c r="H144" s="996"/>
      <c r="I144" s="980"/>
      <c r="J144" s="980"/>
      <c r="K144" s="980"/>
      <c r="L144" s="982"/>
      <c r="M144" s="980"/>
      <c r="N144" s="980"/>
      <c r="O144" s="980"/>
      <c r="P144" s="980"/>
      <c r="Q144" s="980"/>
      <c r="R144" s="982"/>
      <c r="S144" s="980"/>
      <c r="T144" s="983"/>
      <c r="U144" s="997"/>
    </row>
    <row r="145" spans="1:21" ht="37.5">
      <c r="A145" s="1855" t="s">
        <v>839</v>
      </c>
      <c r="B145" s="1855" t="s">
        <v>840</v>
      </c>
      <c r="C145" s="1855" t="s">
        <v>841</v>
      </c>
      <c r="D145" s="1855" t="s">
        <v>842</v>
      </c>
      <c r="E145" s="998" t="s">
        <v>843</v>
      </c>
      <c r="F145" s="986">
        <v>4000</v>
      </c>
      <c r="G145" s="987" t="s">
        <v>77</v>
      </c>
      <c r="H145" s="1857">
        <v>22647</v>
      </c>
      <c r="I145" s="988"/>
      <c r="J145" s="1819"/>
      <c r="K145" s="1819"/>
      <c r="L145" s="1819">
        <v>39600</v>
      </c>
      <c r="M145" s="1819"/>
      <c r="N145" s="1819"/>
      <c r="O145" s="1819"/>
      <c r="P145" s="1819"/>
      <c r="Q145" s="1819"/>
      <c r="R145" s="1819"/>
      <c r="S145" s="1819"/>
      <c r="T145" s="1819"/>
      <c r="U145" s="1813" t="s">
        <v>819</v>
      </c>
    </row>
    <row r="146" spans="1:21" ht="56.25">
      <c r="A146" s="1854"/>
      <c r="B146" s="1854"/>
      <c r="C146" s="1854"/>
      <c r="D146" s="1854"/>
      <c r="E146" s="966" t="s">
        <v>844</v>
      </c>
      <c r="F146" s="967">
        <v>2000</v>
      </c>
      <c r="G146" s="990"/>
      <c r="H146" s="1854"/>
      <c r="I146" s="968"/>
      <c r="J146" s="1820"/>
      <c r="K146" s="1820"/>
      <c r="L146" s="1820"/>
      <c r="M146" s="1820"/>
      <c r="N146" s="1820"/>
      <c r="O146" s="1820"/>
      <c r="P146" s="1820"/>
      <c r="Q146" s="1820"/>
      <c r="R146" s="1820"/>
      <c r="S146" s="1820"/>
      <c r="T146" s="1820"/>
      <c r="U146" s="1814"/>
    </row>
    <row r="147" spans="1:21" ht="56.25">
      <c r="A147" s="1854"/>
      <c r="B147" s="1854"/>
      <c r="C147" s="1854"/>
      <c r="D147" s="1854"/>
      <c r="E147" s="966" t="s">
        <v>845</v>
      </c>
      <c r="F147" s="967">
        <v>1600</v>
      </c>
      <c r="G147" s="999"/>
      <c r="H147" s="1854"/>
      <c r="I147" s="970"/>
      <c r="J147" s="1820"/>
      <c r="K147" s="1820"/>
      <c r="L147" s="1820"/>
      <c r="M147" s="1820"/>
      <c r="N147" s="1820"/>
      <c r="O147" s="1820"/>
      <c r="P147" s="1820"/>
      <c r="Q147" s="1820"/>
      <c r="R147" s="1820"/>
      <c r="S147" s="1820"/>
      <c r="T147" s="1820"/>
      <c r="U147" s="999"/>
    </row>
    <row r="148" spans="1:21" ht="18.75">
      <c r="A148" s="1854"/>
      <c r="B148" s="1854"/>
      <c r="C148" s="999"/>
      <c r="D148" s="1854"/>
      <c r="E148" s="966" t="s">
        <v>822</v>
      </c>
      <c r="F148" s="967"/>
      <c r="G148" s="999"/>
      <c r="H148" s="999"/>
      <c r="I148" s="970"/>
      <c r="J148" s="1000"/>
      <c r="K148" s="1000"/>
      <c r="L148" s="1001"/>
      <c r="M148" s="1000"/>
      <c r="N148" s="1000"/>
      <c r="O148" s="1000"/>
      <c r="P148" s="1000"/>
      <c r="Q148" s="1000"/>
      <c r="R148" s="1001"/>
      <c r="S148" s="1000"/>
      <c r="T148" s="1002"/>
      <c r="U148" s="999"/>
    </row>
    <row r="149" spans="1:21" ht="37.5">
      <c r="A149" s="1856"/>
      <c r="B149" s="1856"/>
      <c r="C149" s="992"/>
      <c r="D149" s="993"/>
      <c r="E149" s="981" t="s">
        <v>846</v>
      </c>
      <c r="F149" s="1003">
        <v>10000</v>
      </c>
      <c r="G149" s="992"/>
      <c r="H149" s="992"/>
      <c r="I149" s="976"/>
      <c r="J149" s="1004"/>
      <c r="K149" s="1004"/>
      <c r="L149" s="1005"/>
      <c r="M149" s="1004"/>
      <c r="N149" s="1004"/>
      <c r="O149" s="1004"/>
      <c r="P149" s="1004"/>
      <c r="Q149" s="1004"/>
      <c r="R149" s="1005"/>
      <c r="S149" s="1004"/>
      <c r="T149" s="1006"/>
      <c r="U149" s="992"/>
    </row>
    <row r="150" spans="1:21" ht="56.25">
      <c r="A150" s="1007"/>
      <c r="B150" s="1008"/>
      <c r="C150" s="1008"/>
      <c r="D150" s="1009"/>
      <c r="E150" s="1010" t="s">
        <v>847</v>
      </c>
      <c r="F150" s="1011">
        <v>6000</v>
      </c>
      <c r="G150" s="1008"/>
      <c r="H150" s="1008"/>
      <c r="I150" s="1010"/>
      <c r="J150" s="1012"/>
      <c r="K150" s="1012"/>
      <c r="L150" s="1013"/>
      <c r="M150" s="1012"/>
      <c r="N150" s="1012"/>
      <c r="O150" s="1012"/>
      <c r="P150" s="1012"/>
      <c r="Q150" s="1012"/>
      <c r="R150" s="1013"/>
      <c r="S150" s="1012"/>
      <c r="T150" s="1014"/>
      <c r="U150" s="1008"/>
    </row>
    <row r="151" spans="1:21" ht="37.5">
      <c r="A151" s="1015"/>
      <c r="B151" s="999"/>
      <c r="C151" s="999"/>
      <c r="D151" s="1016"/>
      <c r="E151" s="970" t="s">
        <v>848</v>
      </c>
      <c r="F151" s="975">
        <v>16000</v>
      </c>
      <c r="G151" s="999"/>
      <c r="H151" s="999"/>
      <c r="I151" s="970"/>
      <c r="J151" s="1000"/>
      <c r="K151" s="1000"/>
      <c r="L151" s="1001"/>
      <c r="M151" s="1000"/>
      <c r="N151" s="1000"/>
      <c r="O151" s="1000"/>
      <c r="P151" s="1000"/>
      <c r="Q151" s="1000"/>
      <c r="R151" s="1001"/>
      <c r="S151" s="1000"/>
      <c r="T151" s="1002"/>
      <c r="U151" s="999"/>
    </row>
    <row r="152" spans="1:21" ht="18.75">
      <c r="A152" s="996"/>
      <c r="B152" s="992"/>
      <c r="C152" s="992"/>
      <c r="D152" s="993"/>
      <c r="E152" s="994" t="s">
        <v>702</v>
      </c>
      <c r="F152" s="979">
        <f>SUM(F145:F151)</f>
        <v>39600</v>
      </c>
      <c r="G152" s="995"/>
      <c r="H152" s="996"/>
      <c r="I152" s="980"/>
      <c r="J152" s="980"/>
      <c r="K152" s="980"/>
      <c r="L152" s="982"/>
      <c r="M152" s="980"/>
      <c r="N152" s="980"/>
      <c r="O152" s="980"/>
      <c r="P152" s="980"/>
      <c r="Q152" s="980"/>
      <c r="R152" s="982"/>
      <c r="S152" s="980"/>
      <c r="T152" s="983"/>
      <c r="U152" s="997"/>
    </row>
    <row r="153" spans="1:21" ht="37.5">
      <c r="A153" s="1855" t="s">
        <v>849</v>
      </c>
      <c r="B153" s="1855" t="s">
        <v>850</v>
      </c>
      <c r="C153" s="1855" t="s">
        <v>851</v>
      </c>
      <c r="D153" s="1855" t="s">
        <v>852</v>
      </c>
      <c r="E153" s="985" t="s">
        <v>831</v>
      </c>
      <c r="F153" s="1017">
        <f>F154+F155+F156+F157</f>
        <v>15200</v>
      </c>
      <c r="G153" s="987" t="s">
        <v>77</v>
      </c>
      <c r="H153" s="1857">
        <v>22678</v>
      </c>
      <c r="I153" s="988"/>
      <c r="J153" s="1819"/>
      <c r="K153" s="1819"/>
      <c r="L153" s="1819"/>
      <c r="M153" s="1819">
        <v>71400</v>
      </c>
      <c r="N153" s="1819"/>
      <c r="O153" s="1819"/>
      <c r="P153" s="1819"/>
      <c r="Q153" s="1819"/>
      <c r="R153" s="1819"/>
      <c r="S153" s="1819"/>
      <c r="T153" s="1819"/>
      <c r="U153" s="1813" t="s">
        <v>819</v>
      </c>
    </row>
    <row r="154" spans="1:21" ht="37.5">
      <c r="A154" s="1854"/>
      <c r="B154" s="1854"/>
      <c r="C154" s="1854"/>
      <c r="D154" s="1854"/>
      <c r="E154" s="989" t="s">
        <v>853</v>
      </c>
      <c r="F154" s="967">
        <v>3200</v>
      </c>
      <c r="G154" s="990"/>
      <c r="H154" s="1854"/>
      <c r="I154" s="968"/>
      <c r="J154" s="1820"/>
      <c r="K154" s="1820"/>
      <c r="L154" s="1820"/>
      <c r="M154" s="1820"/>
      <c r="N154" s="1820"/>
      <c r="O154" s="1820"/>
      <c r="P154" s="1820"/>
      <c r="Q154" s="1820"/>
      <c r="R154" s="1820"/>
      <c r="S154" s="1820"/>
      <c r="T154" s="1820"/>
      <c r="U154" s="1814"/>
    </row>
    <row r="155" spans="1:21" s="863" customFormat="1" ht="37.5">
      <c r="A155" s="1854"/>
      <c r="B155" s="1854"/>
      <c r="C155" s="1854"/>
      <c r="D155" s="1854"/>
      <c r="E155" s="989" t="s">
        <v>854</v>
      </c>
      <c r="F155" s="967">
        <v>3200</v>
      </c>
      <c r="G155" s="990"/>
      <c r="H155" s="1854"/>
      <c r="I155" s="968"/>
      <c r="J155" s="1820"/>
      <c r="K155" s="1820"/>
      <c r="L155" s="1820"/>
      <c r="M155" s="1820"/>
      <c r="N155" s="1820"/>
      <c r="O155" s="1820"/>
      <c r="P155" s="1820"/>
      <c r="Q155" s="1820"/>
      <c r="R155" s="1820"/>
      <c r="S155" s="1820"/>
      <c r="T155" s="1820"/>
      <c r="U155" s="1814"/>
    </row>
    <row r="156" spans="1:21" s="863" customFormat="1" ht="37.5">
      <c r="A156" s="1854"/>
      <c r="B156" s="1854"/>
      <c r="C156" s="1854"/>
      <c r="D156" s="1854"/>
      <c r="E156" s="989" t="s">
        <v>855</v>
      </c>
      <c r="F156" s="967">
        <v>1600</v>
      </c>
      <c r="G156" s="990"/>
      <c r="H156" s="1854"/>
      <c r="I156" s="968"/>
      <c r="J156" s="1820"/>
      <c r="K156" s="1820"/>
      <c r="L156" s="1820"/>
      <c r="M156" s="1820"/>
      <c r="N156" s="1820"/>
      <c r="O156" s="1820"/>
      <c r="P156" s="1820"/>
      <c r="Q156" s="1820"/>
      <c r="R156" s="1820"/>
      <c r="S156" s="1820"/>
      <c r="T156" s="1820"/>
      <c r="U156" s="961"/>
    </row>
    <row r="157" spans="1:21" s="863" customFormat="1" ht="56.25">
      <c r="A157" s="1854"/>
      <c r="B157" s="1854"/>
      <c r="C157" s="1854"/>
      <c r="D157" s="1854"/>
      <c r="E157" s="989" t="s">
        <v>856</v>
      </c>
      <c r="F157" s="967">
        <v>7200</v>
      </c>
      <c r="G157" s="990"/>
      <c r="H157" s="1854"/>
      <c r="I157" s="968"/>
      <c r="J157" s="1820"/>
      <c r="K157" s="1820"/>
      <c r="L157" s="1820"/>
      <c r="M157" s="1820"/>
      <c r="N157" s="1820"/>
      <c r="O157" s="1820"/>
      <c r="P157" s="1820"/>
      <c r="Q157" s="1820"/>
      <c r="R157" s="1820"/>
      <c r="S157" s="1820"/>
      <c r="T157" s="1820"/>
      <c r="U157" s="961"/>
    </row>
    <row r="158" spans="1:21" s="863" customFormat="1" ht="37.5">
      <c r="A158" s="1854"/>
      <c r="B158" s="1854"/>
      <c r="C158" s="1854"/>
      <c r="D158" s="1854"/>
      <c r="E158" s="991" t="s">
        <v>835</v>
      </c>
      <c r="F158" s="1018">
        <f>F159+F160+F161+F162</f>
        <v>41000</v>
      </c>
      <c r="G158" s="990"/>
      <c r="H158" s="1854"/>
      <c r="I158" s="968"/>
      <c r="J158" s="1820"/>
      <c r="K158" s="1820"/>
      <c r="L158" s="1820"/>
      <c r="M158" s="1820"/>
      <c r="N158" s="1820"/>
      <c r="O158" s="1820"/>
      <c r="P158" s="1820"/>
      <c r="Q158" s="1820"/>
      <c r="R158" s="1820"/>
      <c r="S158" s="1820"/>
      <c r="T158" s="1820"/>
      <c r="U158" s="961"/>
    </row>
    <row r="159" spans="1:21" ht="56.25">
      <c r="A159" s="1854"/>
      <c r="B159" s="1854"/>
      <c r="C159" s="1854"/>
      <c r="D159" s="1854"/>
      <c r="E159" s="989" t="s">
        <v>857</v>
      </c>
      <c r="F159" s="967">
        <v>2400</v>
      </c>
      <c r="G159" s="990"/>
      <c r="H159" s="1854"/>
      <c r="I159" s="968"/>
      <c r="J159" s="1820"/>
      <c r="K159" s="1820"/>
      <c r="L159" s="1820"/>
      <c r="M159" s="1820"/>
      <c r="N159" s="1820"/>
      <c r="O159" s="1820"/>
      <c r="P159" s="1820"/>
      <c r="Q159" s="1820"/>
      <c r="R159" s="1820"/>
      <c r="S159" s="1820"/>
      <c r="T159" s="1820"/>
      <c r="U159" s="961"/>
    </row>
    <row r="160" spans="1:21" ht="56.25">
      <c r="A160" s="1854"/>
      <c r="B160" s="1854"/>
      <c r="C160" s="1854"/>
      <c r="D160" s="1854"/>
      <c r="E160" s="989" t="s">
        <v>858</v>
      </c>
      <c r="F160" s="967">
        <v>9600</v>
      </c>
      <c r="G160" s="990"/>
      <c r="H160" s="1854"/>
      <c r="I160" s="968"/>
      <c r="J160" s="1820"/>
      <c r="K160" s="1820"/>
      <c r="L160" s="1820"/>
      <c r="M160" s="1820"/>
      <c r="N160" s="1820"/>
      <c r="O160" s="1820"/>
      <c r="P160" s="1820"/>
      <c r="Q160" s="1820"/>
      <c r="R160" s="1820"/>
      <c r="S160" s="1820"/>
      <c r="T160" s="1820"/>
      <c r="U160" s="961"/>
    </row>
    <row r="161" spans="1:21" ht="47.25">
      <c r="A161" s="1854"/>
      <c r="B161" s="1854"/>
      <c r="C161" s="1854"/>
      <c r="D161" s="1854"/>
      <c r="E161" s="1019" t="s">
        <v>859</v>
      </c>
      <c r="F161" s="967">
        <v>14000</v>
      </c>
      <c r="G161" s="990"/>
      <c r="H161" s="1854"/>
      <c r="I161" s="968"/>
      <c r="J161" s="1820"/>
      <c r="K161" s="1820"/>
      <c r="L161" s="1820"/>
      <c r="M161" s="1820"/>
      <c r="N161" s="1820"/>
      <c r="O161" s="1820"/>
      <c r="P161" s="1820"/>
      <c r="Q161" s="1820"/>
      <c r="R161" s="1820"/>
      <c r="S161" s="1820"/>
      <c r="T161" s="1820"/>
      <c r="U161" s="961"/>
    </row>
    <row r="162" spans="1:21" ht="47.25">
      <c r="A162" s="1854"/>
      <c r="B162" s="1854"/>
      <c r="C162" s="1854"/>
      <c r="D162" s="1854"/>
      <c r="E162" s="1019" t="s">
        <v>860</v>
      </c>
      <c r="F162" s="967">
        <v>15000</v>
      </c>
      <c r="G162" s="990"/>
      <c r="H162" s="1854"/>
      <c r="I162" s="968"/>
      <c r="J162" s="1820"/>
      <c r="K162" s="1820"/>
      <c r="L162" s="1820"/>
      <c r="M162" s="1820"/>
      <c r="N162" s="1820"/>
      <c r="O162" s="1820"/>
      <c r="P162" s="1820"/>
      <c r="Q162" s="1820"/>
      <c r="R162" s="1820"/>
      <c r="S162" s="1820"/>
      <c r="T162" s="1820"/>
      <c r="U162" s="961"/>
    </row>
    <row r="163" spans="1:21" ht="18.75">
      <c r="A163" s="1856"/>
      <c r="B163" s="999"/>
      <c r="C163" s="999"/>
      <c r="D163" s="1016"/>
      <c r="E163" s="1020" t="s">
        <v>702</v>
      </c>
      <c r="F163" s="986">
        <f>F153+F158</f>
        <v>56200</v>
      </c>
      <c r="G163" s="1021"/>
      <c r="H163" s="1015"/>
      <c r="I163" s="969"/>
      <c r="J163" s="969"/>
      <c r="K163" s="969"/>
      <c r="L163" s="973"/>
      <c r="M163" s="969"/>
      <c r="N163" s="969"/>
      <c r="O163" s="969"/>
      <c r="P163" s="969"/>
      <c r="Q163" s="969"/>
      <c r="R163" s="973"/>
      <c r="S163" s="969"/>
      <c r="T163" s="1022"/>
      <c r="U163" s="1023"/>
    </row>
    <row r="164" spans="1:21" ht="56.25">
      <c r="A164" s="1822" t="s">
        <v>861</v>
      </c>
      <c r="B164" s="1824" t="s">
        <v>862</v>
      </c>
      <c r="C164" s="1824" t="s">
        <v>863</v>
      </c>
      <c r="D164" s="1847" t="s">
        <v>864</v>
      </c>
      <c r="E164" s="312" t="s">
        <v>865</v>
      </c>
      <c r="F164" s="825">
        <v>3240</v>
      </c>
      <c r="G164" s="791" t="s">
        <v>721</v>
      </c>
      <c r="H164" s="1822" t="s">
        <v>866</v>
      </c>
      <c r="I164" s="791"/>
      <c r="J164" s="1828">
        <v>51000</v>
      </c>
      <c r="K164" s="791"/>
      <c r="L164" s="759"/>
      <c r="M164" s="791"/>
      <c r="N164" s="1828"/>
      <c r="O164" s="791"/>
      <c r="P164" s="1828"/>
      <c r="Q164" s="791"/>
      <c r="R164" s="759"/>
      <c r="S164" s="1828"/>
      <c r="T164" s="791"/>
      <c r="U164" s="1289" t="s">
        <v>867</v>
      </c>
    </row>
    <row r="165" spans="1:21" ht="56.25">
      <c r="A165" s="1823"/>
      <c r="B165" s="1825"/>
      <c r="C165" s="1825"/>
      <c r="D165" s="1845"/>
      <c r="E165" s="853" t="s">
        <v>868</v>
      </c>
      <c r="F165" s="818">
        <v>25200</v>
      </c>
      <c r="G165" s="773"/>
      <c r="H165" s="1823"/>
      <c r="I165" s="773"/>
      <c r="J165" s="1821"/>
      <c r="K165" s="773"/>
      <c r="L165" s="71"/>
      <c r="M165" s="773"/>
      <c r="N165" s="1821"/>
      <c r="O165" s="773"/>
      <c r="P165" s="1821"/>
      <c r="Q165" s="773"/>
      <c r="R165" s="71"/>
      <c r="S165" s="1821"/>
      <c r="T165" s="773"/>
      <c r="U165" s="1290"/>
    </row>
    <row r="166" spans="1:21" ht="18.75">
      <c r="A166" s="1823"/>
      <c r="B166" s="1825"/>
      <c r="C166" s="1825"/>
      <c r="D166" s="1845"/>
      <c r="E166" s="853" t="s">
        <v>710</v>
      </c>
      <c r="F166" s="818">
        <v>7000</v>
      </c>
      <c r="G166" s="785"/>
      <c r="H166" s="1823"/>
      <c r="I166" s="785"/>
      <c r="J166" s="1821"/>
      <c r="K166" s="785"/>
      <c r="L166" s="71"/>
      <c r="M166" s="785"/>
      <c r="N166" s="1821"/>
      <c r="O166" s="785"/>
      <c r="P166" s="1821"/>
      <c r="Q166" s="785"/>
      <c r="R166" s="71"/>
      <c r="S166" s="1821"/>
      <c r="T166" s="785"/>
      <c r="U166" s="785"/>
    </row>
    <row r="167" spans="1:21" ht="18.75">
      <c r="A167" s="1823"/>
      <c r="B167" s="1825"/>
      <c r="C167" s="1825"/>
      <c r="D167" s="1845"/>
      <c r="E167" s="853" t="s">
        <v>869</v>
      </c>
      <c r="F167" s="818"/>
      <c r="G167" s="765"/>
      <c r="H167" s="1823"/>
      <c r="I167" s="765"/>
      <c r="J167" s="1821"/>
      <c r="K167" s="765"/>
      <c r="L167" s="71"/>
      <c r="M167" s="765"/>
      <c r="N167" s="1821"/>
      <c r="O167" s="765"/>
      <c r="P167" s="1821"/>
      <c r="Q167" s="765"/>
      <c r="R167" s="71"/>
      <c r="S167" s="1821"/>
      <c r="T167" s="765"/>
      <c r="U167" s="765"/>
    </row>
    <row r="168" spans="1:21" ht="37.5">
      <c r="A168" s="1823"/>
      <c r="B168" s="854"/>
      <c r="C168" s="785"/>
      <c r="D168" s="855"/>
      <c r="E168" s="853" t="s">
        <v>870</v>
      </c>
      <c r="F168" s="832">
        <v>20000</v>
      </c>
      <c r="G168" s="765"/>
      <c r="H168" s="765"/>
      <c r="I168" s="765"/>
      <c r="J168" s="765"/>
      <c r="K168" s="765"/>
      <c r="L168" s="786"/>
      <c r="M168" s="765"/>
      <c r="N168" s="765"/>
      <c r="O168" s="765"/>
      <c r="P168" s="765"/>
      <c r="Q168" s="765"/>
      <c r="R168" s="786"/>
      <c r="S168" s="765"/>
      <c r="T168" s="765"/>
      <c r="U168" s="765"/>
    </row>
    <row r="169" spans="1:21" ht="56.25">
      <c r="A169" s="1823"/>
      <c r="B169" s="854"/>
      <c r="C169" s="785"/>
      <c r="D169" s="855"/>
      <c r="E169" s="785" t="s">
        <v>871</v>
      </c>
      <c r="F169" s="856">
        <v>14000</v>
      </c>
      <c r="G169" s="765"/>
      <c r="H169" s="765"/>
      <c r="I169" s="765"/>
      <c r="J169" s="765"/>
      <c r="K169" s="765"/>
      <c r="L169" s="786"/>
      <c r="M169" s="765"/>
      <c r="N169" s="765"/>
      <c r="O169" s="765"/>
      <c r="P169" s="765"/>
      <c r="Q169" s="765"/>
      <c r="R169" s="786"/>
      <c r="S169" s="765"/>
      <c r="T169" s="765"/>
      <c r="U169" s="765"/>
    </row>
    <row r="170" spans="1:21" ht="56.25">
      <c r="A170" s="1823"/>
      <c r="B170" s="854"/>
      <c r="C170" s="785"/>
      <c r="D170" s="855"/>
      <c r="E170" s="785" t="s">
        <v>872</v>
      </c>
      <c r="F170" s="857">
        <v>30000</v>
      </c>
      <c r="G170" s="765"/>
      <c r="H170" s="765"/>
      <c r="I170" s="765"/>
      <c r="J170" s="765"/>
      <c r="K170" s="765"/>
      <c r="L170" s="786"/>
      <c r="M170" s="765"/>
      <c r="N170" s="765"/>
      <c r="O170" s="765"/>
      <c r="P170" s="765"/>
      <c r="Q170" s="765"/>
      <c r="R170" s="786"/>
      <c r="S170" s="765"/>
      <c r="T170" s="765"/>
      <c r="U170" s="765"/>
    </row>
    <row r="171" spans="1:21" ht="18.75">
      <c r="A171" s="1823"/>
      <c r="B171" s="854"/>
      <c r="C171" s="785"/>
      <c r="D171" s="855"/>
      <c r="E171" s="785" t="s">
        <v>873</v>
      </c>
      <c r="F171" s="857">
        <v>1200</v>
      </c>
      <c r="G171" s="765"/>
      <c r="H171" s="765"/>
      <c r="I171" s="765"/>
      <c r="J171" s="765"/>
      <c r="K171" s="765"/>
      <c r="L171" s="786"/>
      <c r="M171" s="765"/>
      <c r="N171" s="765"/>
      <c r="O171" s="765"/>
      <c r="P171" s="765"/>
      <c r="Q171" s="765"/>
      <c r="R171" s="786"/>
      <c r="S171" s="765"/>
      <c r="T171" s="765"/>
      <c r="U171" s="765"/>
    </row>
    <row r="172" spans="1:21" ht="18.75">
      <c r="A172" s="1846"/>
      <c r="B172" s="858"/>
      <c r="C172" s="800"/>
      <c r="D172" s="859"/>
      <c r="E172" s="860" t="s">
        <v>702</v>
      </c>
      <c r="F172" s="823">
        <f>SUM(F164:F171)</f>
        <v>100640</v>
      </c>
      <c r="G172" s="861"/>
      <c r="H172" s="306"/>
      <c r="I172" s="760"/>
      <c r="J172" s="760"/>
      <c r="K172" s="760"/>
      <c r="L172" s="789"/>
      <c r="M172" s="760"/>
      <c r="N172" s="760"/>
      <c r="O172" s="760"/>
      <c r="P172" s="760"/>
      <c r="Q172" s="760"/>
      <c r="R172" s="789"/>
      <c r="S172" s="760"/>
      <c r="T172" s="790"/>
      <c r="U172" s="862"/>
    </row>
    <row r="173" spans="1:21" ht="18.75">
      <c r="A173" s="1840" t="s">
        <v>874</v>
      </c>
      <c r="B173" s="1841"/>
      <c r="C173" s="1841"/>
      <c r="D173" s="1841"/>
      <c r="E173" s="1841"/>
      <c r="F173" s="1841"/>
      <c r="G173" s="1841"/>
      <c r="H173" s="1841"/>
      <c r="I173" s="1841"/>
      <c r="J173" s="1841"/>
      <c r="K173" s="1841"/>
      <c r="L173" s="1841"/>
      <c r="M173" s="1841"/>
      <c r="N173" s="1841"/>
      <c r="O173" s="1841"/>
      <c r="P173" s="1841"/>
      <c r="Q173" s="1841"/>
      <c r="R173" s="1841"/>
      <c r="S173" s="1841"/>
      <c r="T173" s="1842"/>
      <c r="U173" s="864"/>
    </row>
    <row r="174" spans="1:21" s="863" customFormat="1" ht="37.5">
      <c r="A174" s="1822" t="s">
        <v>875</v>
      </c>
      <c r="B174" s="1824" t="s">
        <v>876</v>
      </c>
      <c r="C174" s="1824" t="s">
        <v>877</v>
      </c>
      <c r="D174" s="1822" t="s">
        <v>878</v>
      </c>
      <c r="E174" s="312" t="s">
        <v>879</v>
      </c>
      <c r="F174" s="825">
        <v>52000</v>
      </c>
      <c r="G174" s="1852" t="s">
        <v>999</v>
      </c>
      <c r="H174" s="1822" t="s">
        <v>880</v>
      </c>
      <c r="I174" s="791"/>
      <c r="J174" s="1828"/>
      <c r="K174" s="791"/>
      <c r="L174" s="759"/>
      <c r="M174" s="791"/>
      <c r="N174" s="1828"/>
      <c r="O174" s="791"/>
      <c r="P174" s="1828">
        <v>166000</v>
      </c>
      <c r="Q174" s="791"/>
      <c r="R174" s="759"/>
      <c r="S174" s="1828"/>
      <c r="T174" s="791"/>
      <c r="U174" s="1289" t="s">
        <v>867</v>
      </c>
    </row>
    <row r="175" spans="1:21" s="863" customFormat="1" ht="37.5">
      <c r="A175" s="1823"/>
      <c r="B175" s="1825"/>
      <c r="C175" s="1825"/>
      <c r="D175" s="1823"/>
      <c r="E175" s="853" t="s">
        <v>881</v>
      </c>
      <c r="F175" s="818">
        <v>26000</v>
      </c>
      <c r="G175" s="1853"/>
      <c r="H175" s="1823"/>
      <c r="I175" s="773"/>
      <c r="J175" s="1821"/>
      <c r="K175" s="773"/>
      <c r="L175" s="71"/>
      <c r="M175" s="773"/>
      <c r="N175" s="1821"/>
      <c r="O175" s="773"/>
      <c r="P175" s="1821"/>
      <c r="Q175" s="773"/>
      <c r="R175" s="71"/>
      <c r="S175" s="1821"/>
      <c r="T175" s="773"/>
      <c r="U175" s="1291"/>
    </row>
    <row r="176" spans="1:21" s="863" customFormat="1" ht="56.25">
      <c r="A176" s="1823"/>
      <c r="B176" s="1825"/>
      <c r="C176" s="1825"/>
      <c r="D176" s="1823"/>
      <c r="E176" s="853" t="s">
        <v>882</v>
      </c>
      <c r="F176" s="818">
        <v>26000</v>
      </c>
      <c r="G176" s="1853"/>
      <c r="H176" s="1823"/>
      <c r="I176" s="785"/>
      <c r="J176" s="1821"/>
      <c r="K176" s="785"/>
      <c r="L176" s="71"/>
      <c r="M176" s="785"/>
      <c r="N176" s="1821"/>
      <c r="O176" s="785"/>
      <c r="P176" s="1821"/>
      <c r="Q176" s="785"/>
      <c r="R176" s="71"/>
      <c r="S176" s="1821"/>
      <c r="T176" s="785"/>
      <c r="U176" s="785"/>
    </row>
    <row r="177" spans="1:21" s="863" customFormat="1" ht="37.5">
      <c r="A177" s="1823"/>
      <c r="B177" s="1825"/>
      <c r="C177" s="1825"/>
      <c r="D177" s="1823"/>
      <c r="E177" s="853" t="s">
        <v>883</v>
      </c>
      <c r="F177" s="818">
        <v>10000</v>
      </c>
      <c r="G177" s="765"/>
      <c r="H177" s="1823"/>
      <c r="I177" s="765"/>
      <c r="J177" s="1821"/>
      <c r="K177" s="765"/>
      <c r="L177" s="71"/>
      <c r="M177" s="765"/>
      <c r="N177" s="1821"/>
      <c r="O177" s="765"/>
      <c r="P177" s="1821"/>
      <c r="Q177" s="765"/>
      <c r="R177" s="71"/>
      <c r="S177" s="1821"/>
      <c r="T177" s="765"/>
      <c r="U177" s="765"/>
    </row>
    <row r="178" spans="1:21" s="863" customFormat="1" ht="56.25">
      <c r="A178" s="1823"/>
      <c r="B178" s="854"/>
      <c r="C178" s="785"/>
      <c r="D178" s="855"/>
      <c r="E178" s="853" t="s">
        <v>884</v>
      </c>
      <c r="F178" s="832">
        <v>9600</v>
      </c>
      <c r="G178" s="765"/>
      <c r="H178" s="765"/>
      <c r="I178" s="765"/>
      <c r="J178" s="765"/>
      <c r="K178" s="765"/>
      <c r="L178" s="786"/>
      <c r="M178" s="765"/>
      <c r="N178" s="765"/>
      <c r="O178" s="765"/>
      <c r="P178" s="765"/>
      <c r="Q178" s="765"/>
      <c r="R178" s="786"/>
      <c r="S178" s="765"/>
      <c r="T178" s="765"/>
      <c r="U178" s="765"/>
    </row>
    <row r="179" spans="1:21" s="863" customFormat="1" ht="56.25">
      <c r="A179" s="1823"/>
      <c r="B179" s="854"/>
      <c r="C179" s="785"/>
      <c r="D179" s="855"/>
      <c r="E179" s="785" t="s">
        <v>885</v>
      </c>
      <c r="F179" s="856">
        <v>16200</v>
      </c>
      <c r="G179" s="765"/>
      <c r="H179" s="765"/>
      <c r="I179" s="765"/>
      <c r="J179" s="765"/>
      <c r="K179" s="765"/>
      <c r="L179" s="786"/>
      <c r="M179" s="765"/>
      <c r="N179" s="765"/>
      <c r="O179" s="765"/>
      <c r="P179" s="765"/>
      <c r="Q179" s="765"/>
      <c r="R179" s="786"/>
      <c r="S179" s="765"/>
      <c r="T179" s="765"/>
      <c r="U179" s="765"/>
    </row>
    <row r="180" spans="1:21" s="863" customFormat="1" ht="56.25">
      <c r="A180" s="1823"/>
      <c r="B180" s="854"/>
      <c r="C180" s="785"/>
      <c r="D180" s="855"/>
      <c r="E180" s="785" t="s">
        <v>886</v>
      </c>
      <c r="F180" s="865">
        <v>12000</v>
      </c>
      <c r="G180" s="765"/>
      <c r="H180" s="765"/>
      <c r="I180" s="765"/>
      <c r="J180" s="765"/>
      <c r="K180" s="765"/>
      <c r="L180" s="786"/>
      <c r="M180" s="765"/>
      <c r="N180" s="765"/>
      <c r="O180" s="765"/>
      <c r="P180" s="765"/>
      <c r="Q180" s="765"/>
      <c r="R180" s="786"/>
      <c r="S180" s="765"/>
      <c r="T180" s="765"/>
      <c r="U180" s="765"/>
    </row>
    <row r="181" spans="1:21" s="863" customFormat="1" ht="18.75">
      <c r="A181" s="1823"/>
      <c r="B181" s="854"/>
      <c r="C181" s="785"/>
      <c r="D181" s="855"/>
      <c r="E181" s="785" t="s">
        <v>763</v>
      </c>
      <c r="F181" s="865">
        <v>10000</v>
      </c>
      <c r="G181" s="765"/>
      <c r="H181" s="765"/>
      <c r="I181" s="765"/>
      <c r="J181" s="765"/>
      <c r="K181" s="765"/>
      <c r="L181" s="786"/>
      <c r="M181" s="765"/>
      <c r="N181" s="765"/>
      <c r="O181" s="765"/>
      <c r="P181" s="765"/>
      <c r="Q181" s="765"/>
      <c r="R181" s="786"/>
      <c r="S181" s="765"/>
      <c r="T181" s="765"/>
      <c r="U181" s="765"/>
    </row>
    <row r="182" spans="1:21" s="863" customFormat="1" ht="18.75">
      <c r="A182" s="1823"/>
      <c r="B182" s="854"/>
      <c r="C182" s="785"/>
      <c r="D182" s="855"/>
      <c r="E182" s="785" t="s">
        <v>887</v>
      </c>
      <c r="F182" s="857">
        <v>1200</v>
      </c>
      <c r="G182" s="765"/>
      <c r="H182" s="765"/>
      <c r="I182" s="765"/>
      <c r="J182" s="765"/>
      <c r="K182" s="765"/>
      <c r="L182" s="786"/>
      <c r="M182" s="765"/>
      <c r="N182" s="765"/>
      <c r="O182" s="765"/>
      <c r="P182" s="765"/>
      <c r="Q182" s="765"/>
      <c r="R182" s="786"/>
      <c r="S182" s="765"/>
      <c r="T182" s="765"/>
      <c r="U182" s="765"/>
    </row>
    <row r="183" spans="1:21" s="863" customFormat="1" ht="18.75">
      <c r="A183" s="1823"/>
      <c r="B183" s="854"/>
      <c r="C183" s="785"/>
      <c r="D183" s="855"/>
      <c r="E183" s="785" t="s">
        <v>888</v>
      </c>
      <c r="F183" s="857">
        <v>3000</v>
      </c>
      <c r="G183" s="765"/>
      <c r="H183" s="765"/>
      <c r="I183" s="765"/>
      <c r="J183" s="765"/>
      <c r="K183" s="765"/>
      <c r="L183" s="786"/>
      <c r="M183" s="765"/>
      <c r="N183" s="765"/>
      <c r="O183" s="765"/>
      <c r="P183" s="765"/>
      <c r="Q183" s="765"/>
      <c r="R183" s="786"/>
      <c r="S183" s="765"/>
      <c r="T183" s="765"/>
      <c r="U183" s="765"/>
    </row>
    <row r="184" spans="1:21" s="863" customFormat="1" ht="18.75">
      <c r="A184" s="1846"/>
      <c r="B184" s="858"/>
      <c r="C184" s="800"/>
      <c r="D184" s="859"/>
      <c r="E184" s="860" t="s">
        <v>702</v>
      </c>
      <c r="F184" s="823">
        <f>SUM(F174:F183)</f>
        <v>166000</v>
      </c>
      <c r="G184" s="861"/>
      <c r="H184" s="306"/>
      <c r="I184" s="760"/>
      <c r="J184" s="760"/>
      <c r="K184" s="760"/>
      <c r="L184" s="789"/>
      <c r="M184" s="760"/>
      <c r="N184" s="760"/>
      <c r="O184" s="760"/>
      <c r="P184" s="760"/>
      <c r="Q184" s="760"/>
      <c r="R184" s="789"/>
      <c r="S184" s="760"/>
      <c r="T184" s="790"/>
      <c r="U184" s="862"/>
    </row>
    <row r="185" spans="1:21" s="863" customFormat="1" ht="18.75">
      <c r="A185" s="1849" t="s">
        <v>889</v>
      </c>
      <c r="B185" s="1850"/>
      <c r="C185" s="1850"/>
      <c r="D185" s="1850"/>
      <c r="E185" s="1850"/>
      <c r="F185" s="1850"/>
      <c r="G185" s="1850"/>
      <c r="H185" s="1850"/>
      <c r="I185" s="1850"/>
      <c r="J185" s="1850"/>
      <c r="K185" s="1850"/>
      <c r="L185" s="1850"/>
      <c r="M185" s="1850"/>
      <c r="N185" s="1850"/>
      <c r="O185" s="1850"/>
      <c r="P185" s="1850"/>
      <c r="Q185" s="1850"/>
      <c r="R185" s="1850"/>
      <c r="S185" s="1850"/>
      <c r="T185" s="1851"/>
      <c r="U185" s="862"/>
    </row>
    <row r="186" spans="1:21" s="863" customFormat="1" ht="37.5">
      <c r="A186" s="1822" t="s">
        <v>890</v>
      </c>
      <c r="B186" s="1848" t="s">
        <v>891</v>
      </c>
      <c r="C186" s="1825" t="s">
        <v>892</v>
      </c>
      <c r="D186" s="1845" t="s">
        <v>893</v>
      </c>
      <c r="E186" s="819" t="s">
        <v>894</v>
      </c>
      <c r="F186" s="818">
        <v>10400</v>
      </c>
      <c r="G186" s="772" t="s">
        <v>721</v>
      </c>
      <c r="H186" s="1826">
        <v>22616</v>
      </c>
      <c r="I186" s="773"/>
      <c r="J186" s="1821"/>
      <c r="K186" s="1821">
        <v>53040</v>
      </c>
      <c r="L186" s="71"/>
      <c r="M186" s="773"/>
      <c r="N186" s="1821"/>
      <c r="O186" s="773"/>
      <c r="P186" s="1821"/>
      <c r="Q186" s="773"/>
      <c r="R186" s="71"/>
      <c r="S186" s="1821"/>
      <c r="T186" s="773"/>
      <c r="U186" s="1289" t="s">
        <v>867</v>
      </c>
    </row>
    <row r="187" spans="1:21" s="863" customFormat="1" ht="56.25">
      <c r="A187" s="1823"/>
      <c r="B187" s="1848"/>
      <c r="C187" s="1825"/>
      <c r="D187" s="1845"/>
      <c r="E187" s="853" t="s">
        <v>895</v>
      </c>
      <c r="F187" s="818">
        <v>5200</v>
      </c>
      <c r="G187" s="773"/>
      <c r="H187" s="1827"/>
      <c r="I187" s="773"/>
      <c r="J187" s="1821"/>
      <c r="K187" s="1821"/>
      <c r="L187" s="71"/>
      <c r="M187" s="773"/>
      <c r="N187" s="1821"/>
      <c r="O187" s="773"/>
      <c r="P187" s="1821"/>
      <c r="Q187" s="773"/>
      <c r="R187" s="71"/>
      <c r="S187" s="1821"/>
      <c r="T187" s="773"/>
      <c r="U187" s="1290"/>
    </row>
    <row r="188" spans="1:21" s="863" customFormat="1" ht="37.5">
      <c r="A188" s="1823"/>
      <c r="B188" s="1848"/>
      <c r="C188" s="1825"/>
      <c r="D188" s="1845"/>
      <c r="E188" s="853" t="s">
        <v>896</v>
      </c>
      <c r="F188" s="818">
        <v>3200</v>
      </c>
      <c r="G188" s="785"/>
      <c r="H188" s="1827"/>
      <c r="I188" s="785"/>
      <c r="J188" s="1821"/>
      <c r="K188" s="1821"/>
      <c r="L188" s="71"/>
      <c r="M188" s="785"/>
      <c r="N188" s="1821"/>
      <c r="O188" s="785"/>
      <c r="P188" s="1821"/>
      <c r="Q188" s="785"/>
      <c r="R188" s="71"/>
      <c r="S188" s="1821"/>
      <c r="T188" s="785"/>
      <c r="U188" s="785"/>
    </row>
    <row r="189" spans="1:21" s="863" customFormat="1" ht="56.25">
      <c r="A189" s="1823"/>
      <c r="B189" s="1848"/>
      <c r="C189" s="1825"/>
      <c r="D189" s="1845"/>
      <c r="E189" s="853" t="s">
        <v>897</v>
      </c>
      <c r="F189" s="832">
        <v>4200</v>
      </c>
      <c r="G189" s="765"/>
      <c r="H189" s="1827"/>
      <c r="I189" s="765"/>
      <c r="J189" s="1821"/>
      <c r="K189" s="1821"/>
      <c r="L189" s="71"/>
      <c r="M189" s="765"/>
      <c r="N189" s="1821"/>
      <c r="O189" s="765"/>
      <c r="P189" s="1821"/>
      <c r="Q189" s="765"/>
      <c r="R189" s="71"/>
      <c r="S189" s="1821"/>
      <c r="T189" s="765"/>
      <c r="U189" s="765"/>
    </row>
    <row r="190" spans="1:21" s="863" customFormat="1" ht="56.25">
      <c r="A190" s="1823"/>
      <c r="B190" s="866"/>
      <c r="C190" s="785"/>
      <c r="D190" s="855"/>
      <c r="E190" s="785" t="s">
        <v>898</v>
      </c>
      <c r="F190" s="856">
        <v>5400</v>
      </c>
      <c r="G190" s="765"/>
      <c r="H190" s="765"/>
      <c r="I190" s="765"/>
      <c r="J190" s="765"/>
      <c r="K190" s="765"/>
      <c r="L190" s="786"/>
      <c r="M190" s="765"/>
      <c r="N190" s="765"/>
      <c r="O190" s="765"/>
      <c r="P190" s="765"/>
      <c r="Q190" s="765"/>
      <c r="R190" s="786"/>
      <c r="S190" s="765"/>
      <c r="T190" s="765"/>
      <c r="U190" s="765"/>
    </row>
    <row r="191" spans="1:21" s="863" customFormat="1" ht="56.25">
      <c r="A191" s="1823"/>
      <c r="B191" s="866"/>
      <c r="C191" s="785"/>
      <c r="D191" s="855"/>
      <c r="E191" s="785" t="s">
        <v>886</v>
      </c>
      <c r="F191" s="865">
        <v>12000</v>
      </c>
      <c r="G191" s="765"/>
      <c r="H191" s="765"/>
      <c r="I191" s="765"/>
      <c r="J191" s="765"/>
      <c r="K191" s="765"/>
      <c r="L191" s="786"/>
      <c r="M191" s="765"/>
      <c r="N191" s="765"/>
      <c r="O191" s="765"/>
      <c r="P191" s="765"/>
      <c r="Q191" s="765"/>
      <c r="R191" s="786"/>
      <c r="S191" s="765"/>
      <c r="T191" s="765"/>
      <c r="U191" s="765"/>
    </row>
    <row r="192" spans="1:21" s="863" customFormat="1" ht="18.75">
      <c r="A192" s="1823"/>
      <c r="B192" s="866"/>
      <c r="C192" s="785"/>
      <c r="D192" s="855"/>
      <c r="E192" s="785" t="s">
        <v>763</v>
      </c>
      <c r="F192" s="865">
        <v>8440</v>
      </c>
      <c r="G192" s="765"/>
      <c r="H192" s="765"/>
      <c r="I192" s="765"/>
      <c r="J192" s="765"/>
      <c r="K192" s="765"/>
      <c r="L192" s="786"/>
      <c r="M192" s="765"/>
      <c r="N192" s="765"/>
      <c r="O192" s="765"/>
      <c r="P192" s="765"/>
      <c r="Q192" s="765"/>
      <c r="R192" s="786"/>
      <c r="S192" s="765"/>
      <c r="T192" s="765"/>
      <c r="U192" s="765"/>
    </row>
    <row r="193" spans="1:21" s="863" customFormat="1" ht="18.75">
      <c r="A193" s="1823"/>
      <c r="B193" s="866"/>
      <c r="C193" s="785"/>
      <c r="D193" s="855"/>
      <c r="E193" s="785" t="s">
        <v>887</v>
      </c>
      <c r="F193" s="857">
        <v>1200</v>
      </c>
      <c r="G193" s="765"/>
      <c r="H193" s="765"/>
      <c r="I193" s="765"/>
      <c r="J193" s="765"/>
      <c r="K193" s="765"/>
      <c r="L193" s="786"/>
      <c r="M193" s="765"/>
      <c r="N193" s="765"/>
      <c r="O193" s="765"/>
      <c r="P193" s="765"/>
      <c r="Q193" s="765"/>
      <c r="R193" s="786"/>
      <c r="S193" s="765"/>
      <c r="T193" s="765"/>
      <c r="U193" s="765"/>
    </row>
    <row r="194" spans="1:21" s="863" customFormat="1" ht="18.75">
      <c r="A194" s="1823"/>
      <c r="B194" s="866"/>
      <c r="C194" s="785"/>
      <c r="D194" s="855"/>
      <c r="E194" s="785" t="s">
        <v>888</v>
      </c>
      <c r="F194" s="857">
        <v>3000</v>
      </c>
      <c r="G194" s="861"/>
      <c r="H194" s="306"/>
      <c r="I194" s="760"/>
      <c r="J194" s="760"/>
      <c r="K194" s="760"/>
      <c r="L194" s="789"/>
      <c r="M194" s="760"/>
      <c r="N194" s="760"/>
      <c r="O194" s="760"/>
      <c r="P194" s="760"/>
      <c r="Q194" s="760"/>
      <c r="R194" s="789"/>
      <c r="S194" s="760"/>
      <c r="T194" s="790"/>
      <c r="U194" s="862"/>
    </row>
    <row r="195" spans="1:21" s="863" customFormat="1" ht="18.75">
      <c r="A195" s="239"/>
      <c r="B195" s="307"/>
      <c r="C195" s="307"/>
      <c r="D195" s="307"/>
      <c r="E195" s="867" t="s">
        <v>4</v>
      </c>
      <c r="F195" s="868">
        <f>SUM(F186:F194)</f>
        <v>53040</v>
      </c>
      <c r="G195" s="869"/>
      <c r="H195" s="870"/>
      <c r="I195" s="768"/>
      <c r="J195" s="768"/>
      <c r="K195" s="768"/>
      <c r="L195" s="768"/>
      <c r="M195" s="768"/>
      <c r="N195" s="768"/>
      <c r="O195" s="768"/>
      <c r="P195" s="768"/>
      <c r="Q195" s="768"/>
      <c r="R195" s="768"/>
      <c r="S195" s="768"/>
      <c r="T195" s="768"/>
      <c r="U195" s="240"/>
    </row>
    <row r="196" spans="1:21" s="863" customFormat="1" ht="56.25">
      <c r="A196" s="1823" t="s">
        <v>899</v>
      </c>
      <c r="B196" s="1825" t="s">
        <v>900</v>
      </c>
      <c r="C196" s="1825" t="s">
        <v>892</v>
      </c>
      <c r="D196" s="1845" t="s">
        <v>901</v>
      </c>
      <c r="E196" s="819" t="s">
        <v>902</v>
      </c>
      <c r="F196" s="818">
        <v>8000</v>
      </c>
      <c r="G196" s="773" t="s">
        <v>721</v>
      </c>
      <c r="H196" s="1826">
        <v>22616</v>
      </c>
      <c r="I196" s="773"/>
      <c r="J196" s="1821"/>
      <c r="K196" s="1821">
        <v>30000</v>
      </c>
      <c r="L196" s="71"/>
      <c r="M196" s="773"/>
      <c r="N196" s="1821"/>
      <c r="O196" s="773"/>
      <c r="P196" s="1821"/>
      <c r="Q196" s="773"/>
      <c r="R196" s="71"/>
      <c r="S196" s="1821"/>
      <c r="T196" s="773"/>
      <c r="U196" s="1289" t="s">
        <v>867</v>
      </c>
    </row>
    <row r="197" spans="1:21" s="863" customFormat="1" ht="56.25">
      <c r="A197" s="1823"/>
      <c r="B197" s="1825"/>
      <c r="C197" s="1825"/>
      <c r="D197" s="1845"/>
      <c r="E197" s="853" t="s">
        <v>903</v>
      </c>
      <c r="F197" s="818">
        <v>4000</v>
      </c>
      <c r="G197" s="773"/>
      <c r="H197" s="1827"/>
      <c r="I197" s="773"/>
      <c r="J197" s="1821"/>
      <c r="K197" s="1821"/>
      <c r="L197" s="71"/>
      <c r="M197" s="773"/>
      <c r="N197" s="1821"/>
      <c r="O197" s="773"/>
      <c r="P197" s="1821"/>
      <c r="Q197" s="773"/>
      <c r="R197" s="71"/>
      <c r="S197" s="1821"/>
      <c r="T197" s="773"/>
      <c r="U197" s="1290"/>
    </row>
    <row r="198" spans="1:21" s="863" customFormat="1" ht="37.5">
      <c r="A198" s="1823"/>
      <c r="B198" s="1825"/>
      <c r="C198" s="1825"/>
      <c r="D198" s="1845"/>
      <c r="E198" s="853" t="s">
        <v>896</v>
      </c>
      <c r="F198" s="818">
        <v>3200</v>
      </c>
      <c r="G198" s="785"/>
      <c r="H198" s="1827"/>
      <c r="I198" s="785"/>
      <c r="J198" s="1821"/>
      <c r="K198" s="1821"/>
      <c r="L198" s="71"/>
      <c r="M198" s="785"/>
      <c r="N198" s="1821"/>
      <c r="O198" s="785"/>
      <c r="P198" s="1821"/>
      <c r="Q198" s="785"/>
      <c r="R198" s="71"/>
      <c r="S198" s="1821"/>
      <c r="T198" s="785"/>
      <c r="U198" s="785"/>
    </row>
    <row r="199" spans="1:21" s="863" customFormat="1" ht="56.25">
      <c r="A199" s="1823"/>
      <c r="B199" s="1825"/>
      <c r="C199" s="1825"/>
      <c r="D199" s="1845"/>
      <c r="E199" s="853" t="s">
        <v>897</v>
      </c>
      <c r="F199" s="832">
        <v>4200</v>
      </c>
      <c r="G199" s="765"/>
      <c r="H199" s="1827"/>
      <c r="I199" s="765"/>
      <c r="J199" s="1821"/>
      <c r="K199" s="1821"/>
      <c r="L199" s="71"/>
      <c r="M199" s="765"/>
      <c r="N199" s="1821"/>
      <c r="O199" s="765"/>
      <c r="P199" s="1821"/>
      <c r="Q199" s="765"/>
      <c r="R199" s="71"/>
      <c r="S199" s="1821"/>
      <c r="T199" s="765"/>
      <c r="U199" s="765"/>
    </row>
    <row r="200" spans="1:21" s="863" customFormat="1" ht="18.75">
      <c r="A200" s="1823"/>
      <c r="B200" s="854"/>
      <c r="C200" s="785"/>
      <c r="D200" s="855"/>
      <c r="E200" s="785" t="s">
        <v>763</v>
      </c>
      <c r="F200" s="865">
        <v>6400</v>
      </c>
      <c r="G200" s="765"/>
      <c r="H200" s="765"/>
      <c r="I200" s="765"/>
      <c r="J200" s="765"/>
      <c r="K200" s="765"/>
      <c r="L200" s="786"/>
      <c r="M200" s="765"/>
      <c r="N200" s="765"/>
      <c r="O200" s="765"/>
      <c r="P200" s="765"/>
      <c r="Q200" s="765"/>
      <c r="R200" s="786"/>
      <c r="S200" s="765"/>
      <c r="T200" s="765"/>
      <c r="U200" s="765"/>
    </row>
    <row r="201" spans="1:21" s="863" customFormat="1" ht="18.75">
      <c r="A201" s="1823"/>
      <c r="B201" s="854"/>
      <c r="C201" s="785"/>
      <c r="D201" s="855"/>
      <c r="E201" s="785" t="s">
        <v>887</v>
      </c>
      <c r="F201" s="857">
        <v>1200</v>
      </c>
      <c r="G201" s="765"/>
      <c r="H201" s="765"/>
      <c r="I201" s="765"/>
      <c r="J201" s="765"/>
      <c r="K201" s="765"/>
      <c r="L201" s="786"/>
      <c r="M201" s="765"/>
      <c r="N201" s="765"/>
      <c r="O201" s="765"/>
      <c r="P201" s="765"/>
      <c r="Q201" s="765"/>
      <c r="R201" s="786"/>
      <c r="S201" s="765"/>
      <c r="T201" s="765"/>
      <c r="U201" s="765"/>
    </row>
    <row r="202" spans="1:21" s="863" customFormat="1" ht="18.75">
      <c r="A202" s="1823"/>
      <c r="B202" s="854"/>
      <c r="C202" s="785"/>
      <c r="D202" s="855"/>
      <c r="E202" s="785" t="s">
        <v>888</v>
      </c>
      <c r="F202" s="857">
        <v>3000</v>
      </c>
      <c r="G202" s="871"/>
      <c r="H202" s="853"/>
      <c r="I202" s="71"/>
      <c r="J202" s="71"/>
      <c r="K202" s="71"/>
      <c r="L202" s="786"/>
      <c r="M202" s="71"/>
      <c r="N202" s="71"/>
      <c r="O202" s="71"/>
      <c r="P202" s="71"/>
      <c r="Q202" s="71"/>
      <c r="R202" s="786"/>
      <c r="S202" s="71"/>
      <c r="T202" s="788"/>
      <c r="U202" s="872"/>
    </row>
    <row r="203" spans="1:21" s="863" customFormat="1" ht="18.75">
      <c r="A203" s="239"/>
      <c r="B203" s="307"/>
      <c r="C203" s="307"/>
      <c r="D203" s="307"/>
      <c r="E203" s="873" t="s">
        <v>4</v>
      </c>
      <c r="F203" s="874">
        <f>SUM(F196:F202)</f>
        <v>30000</v>
      </c>
      <c r="G203" s="800"/>
      <c r="H203" s="875"/>
      <c r="I203" s="769"/>
      <c r="J203" s="769"/>
      <c r="K203" s="769"/>
      <c r="L203" s="769"/>
      <c r="M203" s="769"/>
      <c r="N203" s="769"/>
      <c r="O203" s="769"/>
      <c r="P203" s="769"/>
      <c r="Q203" s="769"/>
      <c r="R203" s="769"/>
      <c r="S203" s="769"/>
      <c r="T203" s="769"/>
      <c r="U203" s="239"/>
    </row>
    <row r="204" spans="1:21" s="863" customFormat="1" ht="37.5">
      <c r="A204" s="1822" t="s">
        <v>904</v>
      </c>
      <c r="B204" s="1825" t="s">
        <v>905</v>
      </c>
      <c r="C204" s="1825" t="s">
        <v>906</v>
      </c>
      <c r="D204" s="1845" t="s">
        <v>907</v>
      </c>
      <c r="E204" s="876" t="s">
        <v>908</v>
      </c>
      <c r="F204" s="877"/>
      <c r="G204" s="773" t="s">
        <v>909</v>
      </c>
      <c r="H204" s="1826">
        <v>22706</v>
      </c>
      <c r="I204" s="773"/>
      <c r="J204" s="1821"/>
      <c r="K204" s="1821"/>
      <c r="L204" s="71"/>
      <c r="M204" s="773"/>
      <c r="N204" s="1821">
        <v>205320</v>
      </c>
      <c r="O204" s="773"/>
      <c r="P204" s="1821"/>
      <c r="Q204" s="773"/>
      <c r="R204" s="71"/>
      <c r="S204" s="1821"/>
      <c r="T204" s="773"/>
      <c r="U204" s="1275" t="s">
        <v>867</v>
      </c>
    </row>
    <row r="205" spans="1:21" s="863" customFormat="1" ht="18.75">
      <c r="A205" s="1823"/>
      <c r="B205" s="1825"/>
      <c r="C205" s="1825"/>
      <c r="D205" s="1845"/>
      <c r="E205" s="878" t="s">
        <v>910</v>
      </c>
      <c r="F205" s="877"/>
      <c r="G205" s="773"/>
      <c r="H205" s="1827"/>
      <c r="I205" s="773"/>
      <c r="J205" s="1821"/>
      <c r="K205" s="1821"/>
      <c r="L205" s="71"/>
      <c r="M205" s="773"/>
      <c r="N205" s="1821"/>
      <c r="O205" s="773"/>
      <c r="P205" s="1821"/>
      <c r="Q205" s="773"/>
      <c r="R205" s="71"/>
      <c r="S205" s="1821"/>
      <c r="T205" s="773"/>
      <c r="U205" s="1284"/>
    </row>
    <row r="206" spans="1:21" s="863" customFormat="1" ht="37.5">
      <c r="A206" s="1823"/>
      <c r="B206" s="1825"/>
      <c r="C206" s="1825"/>
      <c r="D206" s="1845"/>
      <c r="E206" s="819" t="s">
        <v>911</v>
      </c>
      <c r="F206" s="818">
        <v>2400</v>
      </c>
      <c r="G206" s="785"/>
      <c r="H206" s="1827"/>
      <c r="I206" s="785"/>
      <c r="J206" s="1821"/>
      <c r="K206" s="1821"/>
      <c r="L206" s="71"/>
      <c r="M206" s="785"/>
      <c r="N206" s="1821"/>
      <c r="O206" s="785"/>
      <c r="P206" s="1821"/>
      <c r="Q206" s="785"/>
      <c r="R206" s="71"/>
      <c r="S206" s="1821"/>
      <c r="T206" s="785"/>
      <c r="U206" s="1284"/>
    </row>
    <row r="207" spans="1:21" s="863" customFormat="1" ht="56.25">
      <c r="A207" s="1823"/>
      <c r="B207" s="1825"/>
      <c r="C207" s="1825"/>
      <c r="D207" s="1845"/>
      <c r="E207" s="853" t="s">
        <v>912</v>
      </c>
      <c r="F207" s="818">
        <v>1200</v>
      </c>
      <c r="G207" s="765"/>
      <c r="H207" s="1827"/>
      <c r="I207" s="765"/>
      <c r="J207" s="1821"/>
      <c r="K207" s="1821"/>
      <c r="L207" s="71"/>
      <c r="M207" s="765"/>
      <c r="N207" s="1821"/>
      <c r="O207" s="765"/>
      <c r="P207" s="1821"/>
      <c r="Q207" s="765"/>
      <c r="R207" s="71"/>
      <c r="S207" s="1821"/>
      <c r="T207" s="765"/>
      <c r="U207" s="765"/>
    </row>
    <row r="208" spans="1:21" s="863" customFormat="1" ht="56.25">
      <c r="A208" s="1823"/>
      <c r="B208" s="854"/>
      <c r="C208" s="785"/>
      <c r="D208" s="855"/>
      <c r="E208" s="853" t="s">
        <v>913</v>
      </c>
      <c r="F208" s="818">
        <v>4200</v>
      </c>
      <c r="G208" s="765"/>
      <c r="H208" s="765"/>
      <c r="I208" s="765"/>
      <c r="J208" s="765"/>
      <c r="K208" s="765"/>
      <c r="L208" s="786"/>
      <c r="M208" s="765"/>
      <c r="N208" s="765"/>
      <c r="O208" s="765"/>
      <c r="P208" s="765"/>
      <c r="Q208" s="765"/>
      <c r="R208" s="786"/>
      <c r="S208" s="765"/>
      <c r="T208" s="765"/>
      <c r="U208" s="765"/>
    </row>
    <row r="209" spans="1:21" s="863" customFormat="1" ht="75">
      <c r="A209" s="853"/>
      <c r="B209" s="854"/>
      <c r="C209" s="785"/>
      <c r="D209" s="855"/>
      <c r="E209" s="853" t="s">
        <v>914</v>
      </c>
      <c r="F209" s="832">
        <v>15000</v>
      </c>
      <c r="G209" s="765"/>
      <c r="H209" s="765"/>
      <c r="I209" s="765"/>
      <c r="J209" s="765"/>
      <c r="K209" s="765"/>
      <c r="L209" s="786"/>
      <c r="M209" s="765"/>
      <c r="N209" s="765"/>
      <c r="O209" s="765"/>
      <c r="P209" s="765"/>
      <c r="Q209" s="765"/>
      <c r="R209" s="786"/>
      <c r="S209" s="765"/>
      <c r="T209" s="765"/>
      <c r="U209" s="765"/>
    </row>
    <row r="210" spans="1:21" s="863" customFormat="1" ht="18.75">
      <c r="A210" s="853"/>
      <c r="B210" s="854"/>
      <c r="C210" s="785"/>
      <c r="D210" s="855"/>
      <c r="E210" s="344" t="s">
        <v>763</v>
      </c>
      <c r="F210" s="879">
        <v>3520</v>
      </c>
      <c r="G210" s="765"/>
      <c r="H210" s="765"/>
      <c r="I210" s="765"/>
      <c r="J210" s="765"/>
      <c r="K210" s="765"/>
      <c r="L210" s="786"/>
      <c r="M210" s="765"/>
      <c r="N210" s="765"/>
      <c r="O210" s="765"/>
      <c r="P210" s="765"/>
      <c r="Q210" s="765"/>
      <c r="R210" s="786"/>
      <c r="S210" s="765"/>
      <c r="T210" s="765"/>
      <c r="U210" s="765"/>
    </row>
    <row r="211" spans="1:21" s="863" customFormat="1" ht="18.75">
      <c r="A211" s="853"/>
      <c r="B211" s="854"/>
      <c r="C211" s="785"/>
      <c r="D211" s="855"/>
      <c r="E211" s="880" t="s">
        <v>915</v>
      </c>
      <c r="F211" s="865"/>
      <c r="G211" s="765"/>
      <c r="H211" s="765"/>
      <c r="I211" s="765"/>
      <c r="J211" s="765"/>
      <c r="K211" s="765"/>
      <c r="L211" s="786"/>
      <c r="M211" s="765"/>
      <c r="N211" s="765"/>
      <c r="O211" s="765"/>
      <c r="P211" s="765"/>
      <c r="Q211" s="765"/>
      <c r="R211" s="786"/>
      <c r="S211" s="765"/>
      <c r="T211" s="765"/>
      <c r="U211" s="765"/>
    </row>
    <row r="212" spans="1:21" s="863" customFormat="1" ht="37.5">
      <c r="A212" s="853"/>
      <c r="B212" s="854"/>
      <c r="C212" s="785"/>
      <c r="D212" s="855"/>
      <c r="E212" s="881" t="s">
        <v>916</v>
      </c>
      <c r="F212" s="865">
        <v>52800</v>
      </c>
      <c r="G212" s="765"/>
      <c r="H212" s="765"/>
      <c r="I212" s="765"/>
      <c r="J212" s="765"/>
      <c r="K212" s="765"/>
      <c r="L212" s="786"/>
      <c r="M212" s="765"/>
      <c r="N212" s="765"/>
      <c r="O212" s="765"/>
      <c r="P212" s="765"/>
      <c r="Q212" s="765"/>
      <c r="R212" s="786"/>
      <c r="S212" s="765"/>
      <c r="T212" s="765"/>
      <c r="U212" s="765"/>
    </row>
    <row r="213" spans="1:21" s="863" customFormat="1" ht="56.25">
      <c r="A213" s="853"/>
      <c r="B213" s="854"/>
      <c r="C213" s="785"/>
      <c r="D213" s="855"/>
      <c r="E213" s="881" t="s">
        <v>917</v>
      </c>
      <c r="F213" s="865">
        <v>56000</v>
      </c>
      <c r="G213" s="765"/>
      <c r="H213" s="765"/>
      <c r="I213" s="765"/>
      <c r="J213" s="765"/>
      <c r="K213" s="765"/>
      <c r="L213" s="786"/>
      <c r="M213" s="765"/>
      <c r="N213" s="765"/>
      <c r="O213" s="765"/>
      <c r="P213" s="765"/>
      <c r="Q213" s="765"/>
      <c r="R213" s="786"/>
      <c r="S213" s="765"/>
      <c r="T213" s="765"/>
      <c r="U213" s="765"/>
    </row>
    <row r="214" spans="1:21" s="863" customFormat="1" ht="56.25">
      <c r="A214" s="853"/>
      <c r="B214" s="854"/>
      <c r="C214" s="785"/>
      <c r="D214" s="855"/>
      <c r="E214" s="881" t="s">
        <v>918</v>
      </c>
      <c r="F214" s="865">
        <v>66000</v>
      </c>
      <c r="G214" s="765"/>
      <c r="H214" s="765"/>
      <c r="I214" s="765"/>
      <c r="J214" s="765"/>
      <c r="K214" s="765"/>
      <c r="L214" s="786"/>
      <c r="M214" s="765"/>
      <c r="N214" s="765"/>
      <c r="O214" s="765"/>
      <c r="P214" s="765"/>
      <c r="Q214" s="765"/>
      <c r="R214" s="786"/>
      <c r="S214" s="765"/>
      <c r="T214" s="765"/>
      <c r="U214" s="765"/>
    </row>
    <row r="215" spans="1:21" s="863" customFormat="1" ht="18.75">
      <c r="A215" s="853"/>
      <c r="B215" s="854"/>
      <c r="C215" s="785"/>
      <c r="D215" s="855"/>
      <c r="E215" s="881" t="s">
        <v>919</v>
      </c>
      <c r="F215" s="865">
        <v>4200</v>
      </c>
      <c r="G215" s="765"/>
      <c r="H215" s="765"/>
      <c r="I215" s="765"/>
      <c r="J215" s="765"/>
      <c r="K215" s="765"/>
      <c r="L215" s="786"/>
      <c r="M215" s="765"/>
      <c r="N215" s="765"/>
      <c r="O215" s="765"/>
      <c r="P215" s="765"/>
      <c r="Q215" s="765"/>
      <c r="R215" s="786"/>
      <c r="S215" s="765"/>
      <c r="T215" s="765"/>
      <c r="U215" s="765"/>
    </row>
    <row r="216" spans="1:21" s="863" customFormat="1" ht="18.75">
      <c r="A216" s="306"/>
      <c r="B216" s="858"/>
      <c r="C216" s="800"/>
      <c r="D216" s="859"/>
      <c r="E216" s="882" t="s">
        <v>702</v>
      </c>
      <c r="F216" s="883">
        <f>SUM(F204:F215)</f>
        <v>205320</v>
      </c>
      <c r="G216" s="770"/>
      <c r="H216" s="770"/>
      <c r="I216" s="770"/>
      <c r="J216" s="770"/>
      <c r="K216" s="770"/>
      <c r="L216" s="789"/>
      <c r="M216" s="770"/>
      <c r="N216" s="770"/>
      <c r="O216" s="770"/>
      <c r="P216" s="770"/>
      <c r="Q216" s="770"/>
      <c r="R216" s="789"/>
      <c r="S216" s="770"/>
      <c r="T216" s="770"/>
      <c r="U216" s="770"/>
    </row>
    <row r="217" spans="1:21" s="863" customFormat="1" ht="18.75">
      <c r="A217" s="1822" t="s">
        <v>920</v>
      </c>
      <c r="B217" s="1824" t="s">
        <v>921</v>
      </c>
      <c r="C217" s="1824" t="s">
        <v>922</v>
      </c>
      <c r="D217" s="1847" t="s">
        <v>923</v>
      </c>
      <c r="E217" s="884" t="s">
        <v>924</v>
      </c>
      <c r="F217" s="885"/>
      <c r="G217" s="791"/>
      <c r="H217" s="1826">
        <v>22798</v>
      </c>
      <c r="I217" s="791"/>
      <c r="J217" s="1828"/>
      <c r="K217" s="1828"/>
      <c r="L217" s="759"/>
      <c r="M217" s="791"/>
      <c r="N217" s="1828"/>
      <c r="O217" s="791"/>
      <c r="P217" s="1828"/>
      <c r="Q217" s="791"/>
      <c r="R217" s="759"/>
      <c r="S217" s="1828"/>
      <c r="T217" s="791"/>
      <c r="U217" s="1289" t="s">
        <v>867</v>
      </c>
    </row>
    <row r="218" spans="1:21" s="863" customFormat="1" ht="18.75">
      <c r="A218" s="1823"/>
      <c r="B218" s="1825"/>
      <c r="C218" s="1825"/>
      <c r="D218" s="1845"/>
      <c r="E218" s="878" t="s">
        <v>925</v>
      </c>
      <c r="F218" s="877"/>
      <c r="G218" s="773"/>
      <c r="H218" s="1827"/>
      <c r="I218" s="773"/>
      <c r="J218" s="1821"/>
      <c r="K218" s="1821"/>
      <c r="L218" s="71"/>
      <c r="M218" s="773"/>
      <c r="N218" s="1821"/>
      <c r="O218" s="773"/>
      <c r="P218" s="1821"/>
      <c r="Q218" s="773"/>
      <c r="R218" s="71"/>
      <c r="S218" s="1821"/>
      <c r="T218" s="773"/>
      <c r="U218" s="1290"/>
    </row>
    <row r="219" spans="1:21" s="863" customFormat="1" ht="18.75">
      <c r="A219" s="1823"/>
      <c r="B219" s="1825"/>
      <c r="C219" s="1825"/>
      <c r="D219" s="1845"/>
      <c r="E219" s="819"/>
      <c r="F219" s="818"/>
      <c r="G219" s="785"/>
      <c r="H219" s="1827"/>
      <c r="I219" s="785"/>
      <c r="J219" s="1821"/>
      <c r="K219" s="1821"/>
      <c r="L219" s="71"/>
      <c r="M219" s="785"/>
      <c r="N219" s="1821"/>
      <c r="O219" s="785"/>
      <c r="P219" s="1821"/>
      <c r="Q219" s="785"/>
      <c r="R219" s="71"/>
      <c r="S219" s="1821"/>
      <c r="T219" s="785"/>
      <c r="U219" s="1290"/>
    </row>
    <row r="220" spans="1:21" s="863" customFormat="1" ht="18.75">
      <c r="A220" s="1823"/>
      <c r="B220" s="1825"/>
      <c r="C220" s="1825"/>
      <c r="D220" s="1845"/>
      <c r="E220" s="853"/>
      <c r="F220" s="818"/>
      <c r="G220" s="765"/>
      <c r="H220" s="1827"/>
      <c r="I220" s="765"/>
      <c r="J220" s="1821"/>
      <c r="K220" s="1821"/>
      <c r="L220" s="71"/>
      <c r="M220" s="765"/>
      <c r="N220" s="1821"/>
      <c r="O220" s="765"/>
      <c r="P220" s="1821"/>
      <c r="Q220" s="765"/>
      <c r="R220" s="71"/>
      <c r="S220" s="1821"/>
      <c r="T220" s="765"/>
      <c r="U220" s="1290"/>
    </row>
    <row r="221" spans="1:21" s="863" customFormat="1" ht="18.75">
      <c r="A221" s="1846"/>
      <c r="B221" s="858"/>
      <c r="C221" s="800"/>
      <c r="D221" s="859"/>
      <c r="E221" s="306"/>
      <c r="F221" s="845"/>
      <c r="G221" s="770"/>
      <c r="H221" s="770"/>
      <c r="I221" s="770"/>
      <c r="J221" s="770"/>
      <c r="K221" s="770"/>
      <c r="L221" s="789"/>
      <c r="M221" s="770"/>
      <c r="N221" s="770"/>
      <c r="O221" s="770"/>
      <c r="P221" s="770"/>
      <c r="Q221" s="770"/>
      <c r="R221" s="789"/>
      <c r="S221" s="770"/>
      <c r="T221" s="770"/>
      <c r="U221" s="770"/>
    </row>
    <row r="222" spans="1:21" s="863" customFormat="1" ht="37.5">
      <c r="A222" s="1822" t="s">
        <v>926</v>
      </c>
      <c r="B222" s="1825" t="s">
        <v>927</v>
      </c>
      <c r="C222" s="1825" t="s">
        <v>928</v>
      </c>
      <c r="D222" s="1845" t="s">
        <v>929</v>
      </c>
      <c r="E222" s="876" t="s">
        <v>930</v>
      </c>
      <c r="F222" s="877"/>
      <c r="G222" s="773" t="s">
        <v>909</v>
      </c>
      <c r="H222" s="1826" t="s">
        <v>931</v>
      </c>
      <c r="I222" s="773"/>
      <c r="J222" s="1821"/>
      <c r="K222" s="1821"/>
      <c r="L222" s="71"/>
      <c r="M222" s="773"/>
      <c r="N222" s="1821"/>
      <c r="O222" s="773"/>
      <c r="P222" s="1821">
        <v>128000</v>
      </c>
      <c r="Q222" s="1821">
        <v>135200</v>
      </c>
      <c r="R222" s="71"/>
      <c r="S222" s="1821"/>
      <c r="T222" s="773"/>
      <c r="U222" s="1275" t="s">
        <v>867</v>
      </c>
    </row>
    <row r="223" spans="1:21" s="863" customFormat="1" ht="37.5">
      <c r="A223" s="1823"/>
      <c r="B223" s="1825"/>
      <c r="C223" s="1825"/>
      <c r="D223" s="1845"/>
      <c r="E223" s="819" t="s">
        <v>932</v>
      </c>
      <c r="F223" s="877">
        <v>24000</v>
      </c>
      <c r="G223" s="773"/>
      <c r="H223" s="1827"/>
      <c r="I223" s="773"/>
      <c r="J223" s="1821"/>
      <c r="K223" s="1821"/>
      <c r="L223" s="71"/>
      <c r="M223" s="773"/>
      <c r="N223" s="1821"/>
      <c r="O223" s="773"/>
      <c r="P223" s="1821"/>
      <c r="Q223" s="1821"/>
      <c r="R223" s="71"/>
      <c r="S223" s="1821"/>
      <c r="T223" s="773"/>
      <c r="U223" s="1284"/>
    </row>
    <row r="224" spans="1:21" s="863" customFormat="1" ht="56.25">
      <c r="A224" s="1823"/>
      <c r="B224" s="1825"/>
      <c r="C224" s="1825"/>
      <c r="D224" s="1845"/>
      <c r="E224" s="853" t="s">
        <v>933</v>
      </c>
      <c r="F224" s="818">
        <v>12000</v>
      </c>
      <c r="G224" s="785"/>
      <c r="H224" s="1827"/>
      <c r="I224" s="785"/>
      <c r="J224" s="1821"/>
      <c r="K224" s="1821"/>
      <c r="L224" s="71"/>
      <c r="M224" s="785"/>
      <c r="N224" s="1821"/>
      <c r="O224" s="785"/>
      <c r="P224" s="1821"/>
      <c r="Q224" s="1821"/>
      <c r="R224" s="71"/>
      <c r="S224" s="1821"/>
      <c r="T224" s="785"/>
      <c r="U224" s="1284"/>
    </row>
    <row r="225" spans="1:21" s="863" customFormat="1" ht="37.5">
      <c r="A225" s="1823"/>
      <c r="B225" s="1825"/>
      <c r="C225" s="1825"/>
      <c r="D225" s="1845"/>
      <c r="E225" s="853" t="s">
        <v>934</v>
      </c>
      <c r="F225" s="818">
        <v>15000</v>
      </c>
      <c r="G225" s="765"/>
      <c r="H225" s="1827"/>
      <c r="I225" s="765"/>
      <c r="J225" s="1821"/>
      <c r="K225" s="1821"/>
      <c r="L225" s="71"/>
      <c r="M225" s="765"/>
      <c r="N225" s="1821"/>
      <c r="O225" s="765"/>
      <c r="P225" s="1821"/>
      <c r="Q225" s="1821"/>
      <c r="R225" s="71"/>
      <c r="S225" s="1821"/>
      <c r="T225" s="765"/>
      <c r="U225" s="765"/>
    </row>
    <row r="226" spans="1:21" s="863" customFormat="1" ht="18.75">
      <c r="A226" s="1823"/>
      <c r="B226" s="854"/>
      <c r="C226" s="785"/>
      <c r="D226" s="855"/>
      <c r="E226" s="878" t="s">
        <v>887</v>
      </c>
      <c r="F226" s="886">
        <v>17000</v>
      </c>
      <c r="G226" s="765"/>
      <c r="H226" s="765"/>
      <c r="I226" s="765"/>
      <c r="J226" s="765"/>
      <c r="K226" s="765"/>
      <c r="L226" s="786"/>
      <c r="M226" s="765"/>
      <c r="N226" s="765"/>
      <c r="O226" s="765"/>
      <c r="P226" s="765"/>
      <c r="Q226" s="765"/>
      <c r="R226" s="786"/>
      <c r="S226" s="765"/>
      <c r="T226" s="765"/>
      <c r="U226" s="765"/>
    </row>
    <row r="227" spans="1:21" s="863" customFormat="1" ht="18.75">
      <c r="A227" s="853"/>
      <c r="B227" s="854"/>
      <c r="C227" s="785"/>
      <c r="D227" s="855"/>
      <c r="E227" s="344" t="s">
        <v>935</v>
      </c>
      <c r="F227" s="886">
        <v>15000</v>
      </c>
      <c r="G227" s="765"/>
      <c r="H227" s="765"/>
      <c r="I227" s="765"/>
      <c r="J227" s="765"/>
      <c r="K227" s="765"/>
      <c r="L227" s="786"/>
      <c r="M227" s="765"/>
      <c r="N227" s="765"/>
      <c r="O227" s="765"/>
      <c r="P227" s="765"/>
      <c r="Q227" s="765"/>
      <c r="R227" s="786"/>
      <c r="S227" s="765"/>
      <c r="T227" s="765"/>
      <c r="U227" s="765"/>
    </row>
    <row r="228" spans="1:21" s="863" customFormat="1" ht="37.5">
      <c r="A228" s="853"/>
      <c r="B228" s="854"/>
      <c r="C228" s="785"/>
      <c r="D228" s="855"/>
      <c r="E228" s="344" t="s">
        <v>936</v>
      </c>
      <c r="F228" s="886">
        <v>42000</v>
      </c>
      <c r="G228" s="765"/>
      <c r="H228" s="765"/>
      <c r="I228" s="765"/>
      <c r="J228" s="765"/>
      <c r="K228" s="765"/>
      <c r="L228" s="786"/>
      <c r="M228" s="765"/>
      <c r="N228" s="765"/>
      <c r="O228" s="765"/>
      <c r="P228" s="765"/>
      <c r="Q228" s="765"/>
      <c r="R228" s="786"/>
      <c r="S228" s="765"/>
      <c r="T228" s="765"/>
      <c r="U228" s="765"/>
    </row>
    <row r="229" spans="1:21" s="863" customFormat="1" ht="37.5">
      <c r="A229" s="853"/>
      <c r="B229" s="854"/>
      <c r="C229" s="785"/>
      <c r="D229" s="855"/>
      <c r="E229" s="887" t="s">
        <v>937</v>
      </c>
      <c r="F229" s="888">
        <v>6000</v>
      </c>
      <c r="G229" s="765"/>
      <c r="H229" s="765"/>
      <c r="I229" s="765"/>
      <c r="J229" s="765"/>
      <c r="K229" s="765"/>
      <c r="L229" s="786"/>
      <c r="M229" s="765"/>
      <c r="N229" s="765"/>
      <c r="O229" s="765"/>
      <c r="P229" s="765"/>
      <c r="Q229" s="765"/>
      <c r="R229" s="786"/>
      <c r="S229" s="765"/>
      <c r="T229" s="765"/>
      <c r="U229" s="765"/>
    </row>
    <row r="230" spans="1:21" s="863" customFormat="1" ht="56.25">
      <c r="A230" s="853"/>
      <c r="B230" s="854"/>
      <c r="C230" s="785"/>
      <c r="D230" s="855"/>
      <c r="E230" s="887" t="s">
        <v>913</v>
      </c>
      <c r="F230" s="888">
        <v>4200</v>
      </c>
      <c r="G230" s="765"/>
      <c r="H230" s="765"/>
      <c r="I230" s="765"/>
      <c r="J230" s="765"/>
      <c r="K230" s="765"/>
      <c r="L230" s="786"/>
      <c r="M230" s="765"/>
      <c r="N230" s="765"/>
      <c r="O230" s="765"/>
      <c r="P230" s="765"/>
      <c r="Q230" s="765"/>
      <c r="R230" s="786"/>
      <c r="S230" s="765"/>
      <c r="T230" s="765"/>
      <c r="U230" s="765"/>
    </row>
    <row r="231" spans="1:21" s="863" customFormat="1" ht="18.75">
      <c r="A231" s="853"/>
      <c r="B231" s="854"/>
      <c r="C231" s="785"/>
      <c r="D231" s="855"/>
      <c r="E231" s="889" t="s">
        <v>938</v>
      </c>
      <c r="F231" s="888"/>
      <c r="G231" s="765"/>
      <c r="H231" s="765"/>
      <c r="I231" s="765"/>
      <c r="J231" s="765"/>
      <c r="K231" s="765"/>
      <c r="L231" s="786"/>
      <c r="M231" s="765"/>
      <c r="N231" s="765"/>
      <c r="O231" s="765"/>
      <c r="P231" s="765"/>
      <c r="Q231" s="765"/>
      <c r="R231" s="786"/>
      <c r="S231" s="765"/>
      <c r="T231" s="765"/>
      <c r="U231" s="765"/>
    </row>
    <row r="232" spans="1:21" s="863" customFormat="1" ht="37.5">
      <c r="A232" s="853"/>
      <c r="B232" s="854"/>
      <c r="C232" s="785"/>
      <c r="D232" s="855"/>
      <c r="E232" s="819" t="s">
        <v>939</v>
      </c>
      <c r="F232" s="888">
        <v>32000</v>
      </c>
      <c r="G232" s="765"/>
      <c r="H232" s="765"/>
      <c r="I232" s="765"/>
      <c r="J232" s="765"/>
      <c r="K232" s="765"/>
      <c r="L232" s="786"/>
      <c r="M232" s="765"/>
      <c r="N232" s="765"/>
      <c r="O232" s="765"/>
      <c r="P232" s="765"/>
      <c r="Q232" s="765"/>
      <c r="R232" s="786"/>
      <c r="S232" s="765"/>
      <c r="T232" s="801"/>
      <c r="U232" s="765"/>
    </row>
    <row r="233" spans="1:21" s="863" customFormat="1" ht="56.25">
      <c r="A233" s="853"/>
      <c r="B233" s="854"/>
      <c r="C233" s="785"/>
      <c r="D233" s="855"/>
      <c r="E233" s="853" t="s">
        <v>940</v>
      </c>
      <c r="F233" s="888">
        <v>16000</v>
      </c>
      <c r="G233" s="765"/>
      <c r="H233" s="765"/>
      <c r="I233" s="765"/>
      <c r="J233" s="765"/>
      <c r="K233" s="765"/>
      <c r="L233" s="786"/>
      <c r="M233" s="765"/>
      <c r="N233" s="765"/>
      <c r="O233" s="765"/>
      <c r="P233" s="765"/>
      <c r="Q233" s="765"/>
      <c r="R233" s="786"/>
      <c r="S233" s="765"/>
      <c r="T233" s="801"/>
      <c r="U233" s="765"/>
    </row>
    <row r="234" spans="1:21" s="863" customFormat="1" ht="56.25">
      <c r="A234" s="853"/>
      <c r="B234" s="854"/>
      <c r="C234" s="785"/>
      <c r="D234" s="855"/>
      <c r="E234" s="890" t="s">
        <v>941</v>
      </c>
      <c r="F234" s="888">
        <v>50000</v>
      </c>
      <c r="G234" s="891"/>
      <c r="H234" s="891"/>
      <c r="I234" s="765"/>
      <c r="J234" s="765"/>
      <c r="K234" s="765"/>
      <c r="L234" s="786"/>
      <c r="M234" s="765"/>
      <c r="N234" s="765"/>
      <c r="O234" s="765"/>
      <c r="P234" s="765"/>
      <c r="Q234" s="765"/>
      <c r="R234" s="786"/>
      <c r="S234" s="765"/>
      <c r="T234" s="801"/>
      <c r="U234" s="765"/>
    </row>
    <row r="235" spans="1:21" s="863" customFormat="1" ht="37.5">
      <c r="A235" s="853"/>
      <c r="B235" s="854"/>
      <c r="C235" s="785"/>
      <c r="D235" s="855"/>
      <c r="E235" s="890" t="s">
        <v>942</v>
      </c>
      <c r="F235" s="888">
        <v>30000</v>
      </c>
      <c r="G235" s="891"/>
      <c r="H235" s="891"/>
      <c r="I235" s="765"/>
      <c r="J235" s="765"/>
      <c r="K235" s="765"/>
      <c r="L235" s="786"/>
      <c r="M235" s="765"/>
      <c r="N235" s="765"/>
      <c r="O235" s="765"/>
      <c r="P235" s="765"/>
      <c r="Q235" s="765"/>
      <c r="R235" s="786"/>
      <c r="S235" s="765"/>
      <c r="T235" s="801"/>
      <c r="U235" s="765"/>
    </row>
    <row r="236" spans="1:21" s="863" customFormat="1" ht="18.75">
      <c r="A236" s="800"/>
      <c r="B236" s="858"/>
      <c r="C236" s="800"/>
      <c r="D236" s="859"/>
      <c r="E236" s="882" t="s">
        <v>702</v>
      </c>
      <c r="F236" s="892">
        <f>SUM(F222:F235)</f>
        <v>263200</v>
      </c>
      <c r="G236" s="893"/>
      <c r="H236" s="306"/>
      <c r="I236" s="760"/>
      <c r="J236" s="760"/>
      <c r="K236" s="760"/>
      <c r="L236" s="789"/>
      <c r="M236" s="760"/>
      <c r="N236" s="760"/>
      <c r="O236" s="760"/>
      <c r="P236" s="760"/>
      <c r="Q236" s="760"/>
      <c r="R236" s="789"/>
      <c r="S236" s="760"/>
      <c r="T236" s="790"/>
      <c r="U236" s="862"/>
    </row>
    <row r="237" spans="1:21" s="863" customFormat="1" ht="75">
      <c r="A237" s="1822" t="s">
        <v>943</v>
      </c>
      <c r="B237" s="1825" t="s">
        <v>944</v>
      </c>
      <c r="C237" s="1825" t="s">
        <v>945</v>
      </c>
      <c r="D237" s="1822" t="s">
        <v>946</v>
      </c>
      <c r="E237" s="894" t="s">
        <v>947</v>
      </c>
      <c r="F237" s="895">
        <v>15000</v>
      </c>
      <c r="G237" s="773" t="s">
        <v>909</v>
      </c>
      <c r="H237" s="1826">
        <v>22828</v>
      </c>
      <c r="I237" s="773"/>
      <c r="J237" s="1821"/>
      <c r="K237" s="1821"/>
      <c r="L237" s="71"/>
      <c r="M237" s="773"/>
      <c r="N237" s="1821"/>
      <c r="O237" s="773"/>
      <c r="P237" s="1821"/>
      <c r="Q237" s="1821"/>
      <c r="R237" s="71">
        <v>531480</v>
      </c>
      <c r="S237" s="1821"/>
      <c r="T237" s="773"/>
      <c r="U237" s="1275" t="s">
        <v>867</v>
      </c>
    </row>
    <row r="238" spans="1:21" s="863" customFormat="1" ht="56.25">
      <c r="A238" s="1823"/>
      <c r="B238" s="1825"/>
      <c r="C238" s="1825"/>
      <c r="D238" s="1823"/>
      <c r="E238" s="819" t="s">
        <v>948</v>
      </c>
      <c r="F238" s="895">
        <v>1980</v>
      </c>
      <c r="G238" s="773"/>
      <c r="H238" s="1827"/>
      <c r="I238" s="773"/>
      <c r="J238" s="1821"/>
      <c r="K238" s="1821"/>
      <c r="L238" s="71"/>
      <c r="M238" s="773"/>
      <c r="N238" s="1821"/>
      <c r="O238" s="773"/>
      <c r="P238" s="1821"/>
      <c r="Q238" s="1821"/>
      <c r="R238" s="71"/>
      <c r="S238" s="1821"/>
      <c r="T238" s="773"/>
      <c r="U238" s="1284"/>
    </row>
    <row r="239" spans="1:21" s="863" customFormat="1" ht="75">
      <c r="A239" s="1823"/>
      <c r="B239" s="1825"/>
      <c r="C239" s="1825"/>
      <c r="D239" s="1823"/>
      <c r="E239" s="853" t="s">
        <v>949</v>
      </c>
      <c r="F239" s="818">
        <v>147000</v>
      </c>
      <c r="G239" s="785"/>
      <c r="H239" s="1827"/>
      <c r="I239" s="785"/>
      <c r="J239" s="1821"/>
      <c r="K239" s="1821"/>
      <c r="L239" s="71"/>
      <c r="M239" s="785"/>
      <c r="N239" s="1821"/>
      <c r="O239" s="785"/>
      <c r="P239" s="1821"/>
      <c r="Q239" s="1821"/>
      <c r="R239" s="71"/>
      <c r="S239" s="1821"/>
      <c r="T239" s="785"/>
      <c r="U239" s="1284"/>
    </row>
    <row r="240" spans="1:21" s="863" customFormat="1" ht="56.25">
      <c r="A240" s="1823"/>
      <c r="B240" s="1825"/>
      <c r="C240" s="1825"/>
      <c r="D240" s="1823"/>
      <c r="E240" s="853" t="s">
        <v>950</v>
      </c>
      <c r="F240" s="818">
        <v>175500</v>
      </c>
      <c r="G240" s="765"/>
      <c r="H240" s="1827"/>
      <c r="I240" s="765"/>
      <c r="J240" s="1821"/>
      <c r="K240" s="1821"/>
      <c r="L240" s="71"/>
      <c r="M240" s="765"/>
      <c r="N240" s="1821"/>
      <c r="O240" s="765"/>
      <c r="P240" s="1821"/>
      <c r="Q240" s="1821"/>
      <c r="R240" s="71"/>
      <c r="S240" s="1821"/>
      <c r="T240" s="765"/>
      <c r="U240" s="765"/>
    </row>
    <row r="241" spans="1:21" s="863" customFormat="1" ht="75">
      <c r="A241" s="1823"/>
      <c r="B241" s="854"/>
      <c r="C241" s="785"/>
      <c r="D241" s="1823"/>
      <c r="E241" s="344" t="s">
        <v>951</v>
      </c>
      <c r="F241" s="886">
        <v>96000</v>
      </c>
      <c r="G241" s="765"/>
      <c r="H241" s="765"/>
      <c r="I241" s="765"/>
      <c r="J241" s="765"/>
      <c r="K241" s="765"/>
      <c r="L241" s="786"/>
      <c r="M241" s="765"/>
      <c r="N241" s="765"/>
      <c r="O241" s="765"/>
      <c r="P241" s="765"/>
      <c r="Q241" s="765"/>
      <c r="R241" s="786"/>
      <c r="S241" s="765"/>
      <c r="T241" s="765"/>
      <c r="U241" s="765"/>
    </row>
    <row r="242" spans="1:21" s="863" customFormat="1" ht="56.25">
      <c r="A242" s="853"/>
      <c r="B242" s="854"/>
      <c r="C242" s="785"/>
      <c r="D242" s="1823"/>
      <c r="E242" s="344" t="s">
        <v>952</v>
      </c>
      <c r="F242" s="886">
        <v>96000</v>
      </c>
      <c r="G242" s="765"/>
      <c r="H242" s="765"/>
      <c r="I242" s="765"/>
      <c r="J242" s="765"/>
      <c r="K242" s="765"/>
      <c r="L242" s="786"/>
      <c r="M242" s="765"/>
      <c r="N242" s="765"/>
      <c r="O242" s="765"/>
      <c r="P242" s="765"/>
      <c r="Q242" s="765"/>
      <c r="R242" s="786"/>
      <c r="S242" s="765"/>
      <c r="T242" s="765"/>
      <c r="U242" s="765"/>
    </row>
    <row r="243" spans="1:21" s="863" customFormat="1" ht="18.75">
      <c r="A243" s="800"/>
      <c r="B243" s="858"/>
      <c r="C243" s="800"/>
      <c r="D243" s="859"/>
      <c r="E243" s="896" t="s">
        <v>702</v>
      </c>
      <c r="F243" s="897">
        <f>SUM(F237:F242)</f>
        <v>531480</v>
      </c>
      <c r="G243" s="893"/>
      <c r="H243" s="306"/>
      <c r="I243" s="760"/>
      <c r="J243" s="760"/>
      <c r="K243" s="760"/>
      <c r="L243" s="789"/>
      <c r="M243" s="760"/>
      <c r="N243" s="760"/>
      <c r="O243" s="760"/>
      <c r="P243" s="760"/>
      <c r="Q243" s="760"/>
      <c r="R243" s="789"/>
      <c r="S243" s="760"/>
      <c r="T243" s="790"/>
      <c r="U243" s="862"/>
    </row>
    <row r="244" spans="1:21" s="863" customFormat="1" ht="38.25">
      <c r="A244" s="1822" t="s">
        <v>953</v>
      </c>
      <c r="B244" s="1825" t="s">
        <v>944</v>
      </c>
      <c r="C244" s="1825" t="s">
        <v>945</v>
      </c>
      <c r="D244" s="1822" t="s">
        <v>946</v>
      </c>
      <c r="E244" s="898" t="s">
        <v>954</v>
      </c>
      <c r="F244" s="899">
        <v>5000</v>
      </c>
      <c r="G244" s="915" t="s">
        <v>721</v>
      </c>
      <c r="H244" s="1826">
        <v>22828</v>
      </c>
      <c r="I244" s="773"/>
      <c r="J244" s="1821"/>
      <c r="K244" s="1821"/>
      <c r="L244" s="71"/>
      <c r="M244" s="773"/>
      <c r="N244" s="1821"/>
      <c r="O244" s="773"/>
      <c r="P244" s="1821"/>
      <c r="Q244" s="1821"/>
      <c r="R244" s="1843">
        <v>64040</v>
      </c>
      <c r="S244" s="1821"/>
      <c r="T244" s="773"/>
      <c r="U244" s="1275" t="s">
        <v>867</v>
      </c>
    </row>
    <row r="245" spans="1:21" s="863" customFormat="1" ht="49.5">
      <c r="A245" s="1823"/>
      <c r="B245" s="1825"/>
      <c r="C245" s="1825"/>
      <c r="D245" s="1823"/>
      <c r="E245" s="900" t="s">
        <v>955</v>
      </c>
      <c r="F245" s="901">
        <v>5040</v>
      </c>
      <c r="G245" s="773"/>
      <c r="H245" s="1844"/>
      <c r="I245" s="773"/>
      <c r="J245" s="1821"/>
      <c r="K245" s="1821"/>
      <c r="L245" s="71"/>
      <c r="M245" s="773"/>
      <c r="N245" s="1821"/>
      <c r="O245" s="773"/>
      <c r="P245" s="1821"/>
      <c r="Q245" s="1821"/>
      <c r="R245" s="1843"/>
      <c r="S245" s="1821"/>
      <c r="T245" s="773"/>
      <c r="U245" s="1284"/>
    </row>
    <row r="246" spans="1:21" s="863" customFormat="1" ht="56.25">
      <c r="A246" s="1823"/>
      <c r="B246" s="1825"/>
      <c r="C246" s="1825"/>
      <c r="D246" s="1823"/>
      <c r="E246" s="853" t="s">
        <v>956</v>
      </c>
      <c r="F246" s="818">
        <v>24000</v>
      </c>
      <c r="G246" s="785"/>
      <c r="H246" s="1844"/>
      <c r="I246" s="785"/>
      <c r="J246" s="1821"/>
      <c r="K246" s="1821"/>
      <c r="L246" s="71"/>
      <c r="M246" s="785"/>
      <c r="N246" s="1821"/>
      <c r="O246" s="785"/>
      <c r="P246" s="1821"/>
      <c r="Q246" s="1821"/>
      <c r="R246" s="71"/>
      <c r="S246" s="1821"/>
      <c r="T246" s="785"/>
      <c r="U246" s="1284"/>
    </row>
    <row r="247" spans="1:21" s="863" customFormat="1" ht="37.5">
      <c r="A247" s="1823"/>
      <c r="B247" s="1825"/>
      <c r="C247" s="1825"/>
      <c r="D247" s="853"/>
      <c r="E247" s="853" t="s">
        <v>957</v>
      </c>
      <c r="F247" s="818"/>
      <c r="G247" s="765"/>
      <c r="H247" s="1844"/>
      <c r="I247" s="765"/>
      <c r="J247" s="1821"/>
      <c r="K247" s="1821"/>
      <c r="L247" s="71"/>
      <c r="M247" s="765"/>
      <c r="N247" s="1821"/>
      <c r="O247" s="765"/>
      <c r="P247" s="1821"/>
      <c r="Q247" s="1821"/>
      <c r="R247" s="71"/>
      <c r="S247" s="1821"/>
      <c r="T247" s="765"/>
      <c r="U247" s="765"/>
    </row>
    <row r="248" spans="1:21" s="863" customFormat="1" ht="37.5">
      <c r="A248" s="1823"/>
      <c r="B248" s="854"/>
      <c r="C248" s="785"/>
      <c r="D248" s="853"/>
      <c r="E248" s="344" t="s">
        <v>958</v>
      </c>
      <c r="F248" s="886">
        <v>8000</v>
      </c>
      <c r="G248" s="765"/>
      <c r="H248" s="765"/>
      <c r="I248" s="765"/>
      <c r="J248" s="765"/>
      <c r="K248" s="765"/>
      <c r="L248" s="786"/>
      <c r="M248" s="765"/>
      <c r="N248" s="765"/>
      <c r="O248" s="765"/>
      <c r="P248" s="765"/>
      <c r="Q248" s="765"/>
      <c r="R248" s="786"/>
      <c r="S248" s="765"/>
      <c r="T248" s="765"/>
      <c r="U248" s="765"/>
    </row>
    <row r="249" spans="1:21" s="863" customFormat="1" ht="56.25">
      <c r="A249" s="785"/>
      <c r="B249" s="854"/>
      <c r="C249" s="785"/>
      <c r="D249" s="853"/>
      <c r="E249" s="344" t="s">
        <v>959</v>
      </c>
      <c r="F249" s="886">
        <v>4000</v>
      </c>
      <c r="G249" s="765"/>
      <c r="H249" s="765"/>
      <c r="I249" s="765"/>
      <c r="J249" s="765"/>
      <c r="K249" s="765"/>
      <c r="L249" s="786"/>
      <c r="M249" s="765"/>
      <c r="N249" s="765"/>
      <c r="O249" s="765"/>
      <c r="P249" s="765"/>
      <c r="Q249" s="765"/>
      <c r="R249" s="786"/>
      <c r="S249" s="765"/>
      <c r="T249" s="765"/>
      <c r="U249" s="765"/>
    </row>
    <row r="250" spans="1:21" s="863" customFormat="1" ht="56.25">
      <c r="A250" s="785"/>
      <c r="B250" s="854"/>
      <c r="C250" s="785"/>
      <c r="D250" s="853"/>
      <c r="E250" s="344" t="s">
        <v>960</v>
      </c>
      <c r="F250" s="886">
        <v>18000</v>
      </c>
      <c r="G250" s="765"/>
      <c r="H250" s="765"/>
      <c r="I250" s="765"/>
      <c r="J250" s="765"/>
      <c r="K250" s="765"/>
      <c r="L250" s="786"/>
      <c r="M250" s="765"/>
      <c r="N250" s="765"/>
      <c r="O250" s="765"/>
      <c r="P250" s="765"/>
      <c r="Q250" s="765"/>
      <c r="R250" s="786"/>
      <c r="S250" s="765"/>
      <c r="T250" s="765"/>
      <c r="U250" s="765"/>
    </row>
    <row r="251" spans="1:21" s="863" customFormat="1" ht="18.75">
      <c r="A251" s="785"/>
      <c r="B251" s="854"/>
      <c r="C251" s="785"/>
      <c r="D251" s="853"/>
      <c r="E251" s="344"/>
      <c r="F251" s="886"/>
      <c r="G251" s="765"/>
      <c r="H251" s="765"/>
      <c r="I251" s="765"/>
      <c r="J251" s="765"/>
      <c r="K251" s="765"/>
      <c r="L251" s="786"/>
      <c r="M251" s="765"/>
      <c r="N251" s="765"/>
      <c r="O251" s="765"/>
      <c r="P251" s="765"/>
      <c r="Q251" s="765"/>
      <c r="R251" s="786"/>
      <c r="S251" s="765"/>
      <c r="T251" s="765"/>
      <c r="U251" s="765"/>
    </row>
    <row r="252" spans="1:21" s="863" customFormat="1" ht="18.75">
      <c r="A252" s="306"/>
      <c r="B252" s="858"/>
      <c r="C252" s="800"/>
      <c r="D252" s="306"/>
      <c r="E252" s="758" t="s">
        <v>702</v>
      </c>
      <c r="F252" s="902">
        <f>SUM(F244:F251)</f>
        <v>64040</v>
      </c>
      <c r="G252" s="770"/>
      <c r="H252" s="770"/>
      <c r="I252" s="770"/>
      <c r="J252" s="770"/>
      <c r="K252" s="770"/>
      <c r="L252" s="789"/>
      <c r="M252" s="770"/>
      <c r="N252" s="770"/>
      <c r="O252" s="770"/>
      <c r="P252" s="770"/>
      <c r="Q252" s="770"/>
      <c r="R252" s="789"/>
      <c r="S252" s="770"/>
      <c r="T252" s="770"/>
      <c r="U252" s="770"/>
    </row>
    <row r="253" spans="1:21" s="863" customFormat="1" ht="18.75">
      <c r="A253" s="1840" t="s">
        <v>961</v>
      </c>
      <c r="B253" s="1841"/>
      <c r="C253" s="1841"/>
      <c r="D253" s="1841"/>
      <c r="E253" s="1841"/>
      <c r="F253" s="1841"/>
      <c r="G253" s="1841"/>
      <c r="H253" s="1841"/>
      <c r="I253" s="1841"/>
      <c r="J253" s="1841"/>
      <c r="K253" s="1841"/>
      <c r="L253" s="1841"/>
      <c r="M253" s="1841"/>
      <c r="N253" s="1841"/>
      <c r="O253" s="1841"/>
      <c r="P253" s="1841"/>
      <c r="Q253" s="1841"/>
      <c r="R253" s="1841"/>
      <c r="S253" s="1841"/>
      <c r="T253" s="1842"/>
      <c r="U253" s="872"/>
    </row>
    <row r="254" spans="1:21" s="863" customFormat="1" ht="37.5">
      <c r="A254" s="1822" t="s">
        <v>962</v>
      </c>
      <c r="B254" s="1825" t="s">
        <v>963</v>
      </c>
      <c r="C254" s="1825" t="s">
        <v>964</v>
      </c>
      <c r="D254" s="1822" t="s">
        <v>965</v>
      </c>
      <c r="E254" s="819" t="s">
        <v>966</v>
      </c>
      <c r="F254" s="877">
        <v>5600</v>
      </c>
      <c r="G254" s="915" t="s">
        <v>691</v>
      </c>
      <c r="H254" s="1826" t="s">
        <v>967</v>
      </c>
      <c r="I254" s="773"/>
      <c r="J254" s="1821">
        <v>10520</v>
      </c>
      <c r="K254" s="1821"/>
      <c r="L254" s="71"/>
      <c r="M254" s="773"/>
      <c r="N254" s="1821"/>
      <c r="O254" s="1821">
        <v>3400</v>
      </c>
      <c r="P254" s="1821"/>
      <c r="Q254" s="1821">
        <v>3420</v>
      </c>
      <c r="R254" s="71"/>
      <c r="S254" s="1821"/>
      <c r="T254" s="773"/>
      <c r="U254" s="1275" t="s">
        <v>867</v>
      </c>
    </row>
    <row r="255" spans="1:21" s="863" customFormat="1" ht="56.25">
      <c r="A255" s="1823"/>
      <c r="B255" s="1825"/>
      <c r="C255" s="1825"/>
      <c r="D255" s="1823"/>
      <c r="E255" s="853" t="s">
        <v>968</v>
      </c>
      <c r="F255" s="818">
        <v>4200</v>
      </c>
      <c r="G255" s="773"/>
      <c r="H255" s="1827"/>
      <c r="I255" s="773"/>
      <c r="J255" s="1821"/>
      <c r="K255" s="1821"/>
      <c r="L255" s="71"/>
      <c r="M255" s="773"/>
      <c r="N255" s="1821"/>
      <c r="O255" s="1821"/>
      <c r="P255" s="1821"/>
      <c r="Q255" s="1821"/>
      <c r="R255" s="71"/>
      <c r="S255" s="1821"/>
      <c r="T255" s="773"/>
      <c r="U255" s="1284"/>
    </row>
    <row r="256" spans="1:21" s="863" customFormat="1" ht="56.25">
      <c r="A256" s="1823"/>
      <c r="B256" s="1825"/>
      <c r="C256" s="1825"/>
      <c r="D256" s="1823"/>
      <c r="E256" s="903" t="s">
        <v>969</v>
      </c>
      <c r="F256" s="901">
        <v>5040</v>
      </c>
      <c r="G256" s="785"/>
      <c r="H256" s="1827"/>
      <c r="I256" s="785"/>
      <c r="J256" s="1821"/>
      <c r="K256" s="1821"/>
      <c r="L256" s="71"/>
      <c r="M256" s="785"/>
      <c r="N256" s="1821"/>
      <c r="O256" s="1821"/>
      <c r="P256" s="1821"/>
      <c r="Q256" s="1821"/>
      <c r="R256" s="71"/>
      <c r="S256" s="1821"/>
      <c r="T256" s="785"/>
      <c r="U256" s="1284"/>
    </row>
    <row r="257" spans="1:21" s="863" customFormat="1" ht="18.75">
      <c r="A257" s="1823"/>
      <c r="B257" s="1825"/>
      <c r="C257" s="1825"/>
      <c r="D257" s="1823"/>
      <c r="E257" s="853" t="s">
        <v>131</v>
      </c>
      <c r="F257" s="818">
        <v>2500</v>
      </c>
      <c r="G257" s="765"/>
      <c r="H257" s="1827"/>
      <c r="I257" s="765"/>
      <c r="J257" s="1821"/>
      <c r="K257" s="1821"/>
      <c r="L257" s="71"/>
      <c r="M257" s="765"/>
      <c r="N257" s="1821"/>
      <c r="O257" s="1821"/>
      <c r="P257" s="1821"/>
      <c r="Q257" s="1821"/>
      <c r="R257" s="71"/>
      <c r="S257" s="1821"/>
      <c r="T257" s="765"/>
      <c r="U257" s="765"/>
    </row>
    <row r="258" spans="1:21" s="863" customFormat="1" ht="18.75">
      <c r="A258" s="1823"/>
      <c r="B258" s="854"/>
      <c r="C258" s="785"/>
      <c r="D258" s="1823"/>
      <c r="E258" s="344"/>
      <c r="F258" s="886"/>
      <c r="G258" s="765"/>
      <c r="H258" s="765"/>
      <c r="I258" s="765"/>
      <c r="J258" s="765"/>
      <c r="K258" s="765"/>
      <c r="L258" s="786"/>
      <c r="M258" s="765"/>
      <c r="N258" s="765"/>
      <c r="O258" s="765"/>
      <c r="P258" s="765"/>
      <c r="Q258" s="765"/>
      <c r="R258" s="786"/>
      <c r="S258" s="765"/>
      <c r="T258" s="765"/>
      <c r="U258" s="765"/>
    </row>
    <row r="259" spans="1:21" s="863" customFormat="1" ht="18.75">
      <c r="A259" s="306"/>
      <c r="B259" s="858"/>
      <c r="C259" s="800"/>
      <c r="D259" s="306"/>
      <c r="E259" s="758" t="s">
        <v>702</v>
      </c>
      <c r="F259" s="902">
        <f>SUM(F254:F258)</f>
        <v>17340</v>
      </c>
      <c r="G259" s="770"/>
      <c r="H259" s="770"/>
      <c r="I259" s="770"/>
      <c r="J259" s="770"/>
      <c r="K259" s="770"/>
      <c r="L259" s="789"/>
      <c r="M259" s="770"/>
      <c r="N259" s="770"/>
      <c r="O259" s="770"/>
      <c r="P259" s="770"/>
      <c r="Q259" s="770"/>
      <c r="R259" s="789"/>
      <c r="S259" s="770"/>
      <c r="T259" s="770"/>
      <c r="U259" s="770"/>
    </row>
    <row r="260" spans="1:21" s="863" customFormat="1" ht="37.5">
      <c r="A260" s="1822" t="s">
        <v>970</v>
      </c>
      <c r="B260" s="1824" t="s">
        <v>971</v>
      </c>
      <c r="C260" s="1824" t="s">
        <v>964</v>
      </c>
      <c r="D260" s="1822" t="s">
        <v>972</v>
      </c>
      <c r="E260" s="824" t="s">
        <v>973</v>
      </c>
      <c r="F260" s="885">
        <v>3200</v>
      </c>
      <c r="G260" s="914" t="s">
        <v>691</v>
      </c>
      <c r="H260" s="1826" t="s">
        <v>967</v>
      </c>
      <c r="I260" s="791"/>
      <c r="J260" s="1828">
        <v>2000</v>
      </c>
      <c r="K260" s="1828"/>
      <c r="L260" s="759"/>
      <c r="M260" s="791"/>
      <c r="N260" s="1828"/>
      <c r="O260" s="791"/>
      <c r="P260" s="1828">
        <v>2000</v>
      </c>
      <c r="Q260" s="1828">
        <v>2900</v>
      </c>
      <c r="R260" s="759"/>
      <c r="S260" s="1828"/>
      <c r="T260" s="791"/>
      <c r="U260" s="1275" t="s">
        <v>867</v>
      </c>
    </row>
    <row r="261" spans="1:21" s="863" customFormat="1" ht="56.25">
      <c r="A261" s="1823"/>
      <c r="B261" s="1825"/>
      <c r="C261" s="1825"/>
      <c r="D261" s="1823"/>
      <c r="E261" s="853" t="s">
        <v>974</v>
      </c>
      <c r="F261" s="818">
        <v>1200</v>
      </c>
      <c r="G261" s="773"/>
      <c r="H261" s="1827"/>
      <c r="I261" s="773"/>
      <c r="J261" s="1821"/>
      <c r="K261" s="1821"/>
      <c r="L261" s="71"/>
      <c r="M261" s="773"/>
      <c r="N261" s="1821"/>
      <c r="O261" s="773"/>
      <c r="P261" s="1821"/>
      <c r="Q261" s="1821"/>
      <c r="R261" s="71"/>
      <c r="S261" s="1821"/>
      <c r="T261" s="773"/>
      <c r="U261" s="1284"/>
    </row>
    <row r="262" spans="1:21" ht="18.75">
      <c r="A262" s="1823"/>
      <c r="B262" s="1825"/>
      <c r="C262" s="1825"/>
      <c r="D262" s="1823"/>
      <c r="E262" s="853" t="s">
        <v>131</v>
      </c>
      <c r="F262" s="818">
        <v>2500</v>
      </c>
      <c r="G262" s="765"/>
      <c r="H262" s="1827"/>
      <c r="I262" s="765"/>
      <c r="J262" s="1821"/>
      <c r="K262" s="1821"/>
      <c r="L262" s="71"/>
      <c r="M262" s="765"/>
      <c r="N262" s="1821"/>
      <c r="O262" s="765"/>
      <c r="P262" s="1821"/>
      <c r="Q262" s="1821"/>
      <c r="R262" s="71"/>
      <c r="S262" s="1821"/>
      <c r="T262" s="765"/>
      <c r="U262" s="765"/>
    </row>
    <row r="263" spans="1:21" ht="18.75">
      <c r="A263" s="1823"/>
      <c r="B263" s="854"/>
      <c r="C263" s="785"/>
      <c r="D263" s="1823"/>
      <c r="E263" s="344"/>
      <c r="F263" s="886"/>
      <c r="G263" s="765"/>
      <c r="H263" s="765"/>
      <c r="I263" s="765"/>
      <c r="J263" s="765"/>
      <c r="K263" s="765"/>
      <c r="L263" s="786"/>
      <c r="M263" s="765"/>
      <c r="N263" s="765"/>
      <c r="O263" s="765"/>
      <c r="P263" s="765"/>
      <c r="Q263" s="765"/>
      <c r="R263" s="786"/>
      <c r="S263" s="765"/>
      <c r="T263" s="765"/>
      <c r="U263" s="765"/>
    </row>
    <row r="264" spans="1:21" ht="18.75">
      <c r="A264" s="306"/>
      <c r="B264" s="858"/>
      <c r="C264" s="800"/>
      <c r="D264" s="306"/>
      <c r="E264" s="758" t="s">
        <v>702</v>
      </c>
      <c r="F264" s="902">
        <f>SUM(F260:F263)</f>
        <v>6900</v>
      </c>
      <c r="G264" s="770"/>
      <c r="H264" s="770"/>
      <c r="I264" s="770"/>
      <c r="J264" s="770"/>
      <c r="K264" s="770"/>
      <c r="L264" s="789"/>
      <c r="M264" s="770"/>
      <c r="N264" s="770"/>
      <c r="O264" s="770"/>
      <c r="P264" s="770"/>
      <c r="Q264" s="770"/>
      <c r="R264" s="789"/>
      <c r="S264" s="770"/>
      <c r="T264" s="770"/>
      <c r="U264" s="770"/>
    </row>
    <row r="265" spans="1:21" ht="18.75">
      <c r="A265" s="1834" t="s">
        <v>975</v>
      </c>
      <c r="B265" s="1835"/>
      <c r="C265" s="1835"/>
      <c r="D265" s="1835"/>
      <c r="E265" s="1836"/>
      <c r="F265" s="904">
        <f>F264+F259+F252+F243+F236+F216+F203+F195+F184+F172+F163+F152+F144+F136</f>
        <v>1643960</v>
      </c>
      <c r="G265" s="771"/>
      <c r="H265" s="771"/>
      <c r="I265" s="777"/>
      <c r="J265" s="777"/>
      <c r="K265" s="777"/>
      <c r="L265" s="777"/>
      <c r="M265" s="777"/>
      <c r="N265" s="777"/>
      <c r="O265" s="777"/>
      <c r="P265" s="777"/>
      <c r="Q265" s="777"/>
      <c r="R265" s="777"/>
      <c r="S265" s="777"/>
      <c r="T265" s="777"/>
      <c r="U265" s="771"/>
    </row>
    <row r="266" spans="1:21" s="816" customFormat="1" ht="18.75">
      <c r="A266" s="1837" t="s">
        <v>976</v>
      </c>
      <c r="B266" s="1838"/>
      <c r="C266" s="1838"/>
      <c r="D266" s="1838"/>
      <c r="E266" s="1838"/>
      <c r="F266" s="1838"/>
      <c r="G266" s="1838"/>
      <c r="H266" s="1838"/>
      <c r="I266" s="1838"/>
      <c r="J266" s="1838"/>
      <c r="K266" s="1838"/>
      <c r="L266" s="1838"/>
      <c r="M266" s="1838"/>
      <c r="N266" s="1838"/>
      <c r="O266" s="1838"/>
      <c r="P266" s="1838"/>
      <c r="Q266" s="1838"/>
      <c r="R266" s="1838"/>
      <c r="S266" s="1838"/>
      <c r="T266" s="1839"/>
      <c r="U266" s="319"/>
    </row>
    <row r="267" spans="1:21" s="863" customFormat="1" ht="37.5">
      <c r="A267" s="1815" t="s">
        <v>977</v>
      </c>
      <c r="B267" s="1815" t="s">
        <v>978</v>
      </c>
      <c r="C267" s="1815" t="s">
        <v>979</v>
      </c>
      <c r="D267" s="1815" t="s">
        <v>980</v>
      </c>
      <c r="E267" s="1024" t="s">
        <v>981</v>
      </c>
      <c r="F267" s="955">
        <v>16200</v>
      </c>
      <c r="G267" s="1012" t="s">
        <v>282</v>
      </c>
      <c r="H267" s="1817">
        <v>22706</v>
      </c>
      <c r="I267" s="988"/>
      <c r="J267" s="1819"/>
      <c r="K267" s="1819"/>
      <c r="L267" s="1025"/>
      <c r="M267" s="988"/>
      <c r="N267" s="1819">
        <v>25280</v>
      </c>
      <c r="O267" s="988"/>
      <c r="P267" s="1819"/>
      <c r="Q267" s="1819"/>
      <c r="R267" s="1025"/>
      <c r="S267" s="1819"/>
      <c r="T267" s="988"/>
      <c r="U267" s="1813" t="s">
        <v>982</v>
      </c>
    </row>
    <row r="268" spans="1:21" s="863" customFormat="1" ht="18.75">
      <c r="A268" s="1816"/>
      <c r="B268" s="1816"/>
      <c r="C268" s="1816"/>
      <c r="D268" s="1816"/>
      <c r="E268" s="966" t="s">
        <v>710</v>
      </c>
      <c r="F268" s="967">
        <v>8000</v>
      </c>
      <c r="G268" s="968"/>
      <c r="H268" s="1818"/>
      <c r="I268" s="968"/>
      <c r="J268" s="1820"/>
      <c r="K268" s="1820"/>
      <c r="L268" s="969"/>
      <c r="M268" s="968"/>
      <c r="N268" s="1820"/>
      <c r="O268" s="968"/>
      <c r="P268" s="1820"/>
      <c r="Q268" s="1820"/>
      <c r="R268" s="969"/>
      <c r="S268" s="1820"/>
      <c r="T268" s="968"/>
      <c r="U268" s="1814"/>
    </row>
    <row r="269" spans="1:21" ht="18.75">
      <c r="A269" s="1816"/>
      <c r="B269" s="1816"/>
      <c r="C269" s="1816"/>
      <c r="D269" s="1816"/>
      <c r="E269" s="966" t="s">
        <v>983</v>
      </c>
      <c r="F269" s="967">
        <v>1080</v>
      </c>
      <c r="G269" s="957"/>
      <c r="H269" s="1818"/>
      <c r="I269" s="957"/>
      <c r="J269" s="1820"/>
      <c r="K269" s="1820"/>
      <c r="L269" s="969"/>
      <c r="M269" s="957"/>
      <c r="N269" s="1820"/>
      <c r="O269" s="957"/>
      <c r="P269" s="1820"/>
      <c r="Q269" s="1820"/>
      <c r="R269" s="969"/>
      <c r="S269" s="1820"/>
      <c r="T269" s="957"/>
      <c r="U269" s="957"/>
    </row>
    <row r="270" spans="1:21" ht="18.75">
      <c r="A270" s="981"/>
      <c r="B270" s="976"/>
      <c r="C270" s="976"/>
      <c r="D270" s="981"/>
      <c r="E270" s="1026" t="s">
        <v>702</v>
      </c>
      <c r="F270" s="1027">
        <f>SUM(F267:F269)</f>
        <v>25280</v>
      </c>
      <c r="G270" s="1028"/>
      <c r="H270" s="1028"/>
      <c r="I270" s="1028"/>
      <c r="J270" s="1028"/>
      <c r="K270" s="1028"/>
      <c r="L270" s="982"/>
      <c r="M270" s="1028"/>
      <c r="N270" s="1028"/>
      <c r="O270" s="1028"/>
      <c r="P270" s="1028"/>
      <c r="Q270" s="1028"/>
      <c r="R270" s="982"/>
      <c r="S270" s="1028"/>
      <c r="T270" s="1028"/>
      <c r="U270" s="1028"/>
    </row>
    <row r="271" spans="1:21" ht="41.25">
      <c r="A271" s="1815" t="s">
        <v>984</v>
      </c>
      <c r="B271" s="1815" t="s">
        <v>985</v>
      </c>
      <c r="C271" s="1815" t="s">
        <v>986</v>
      </c>
      <c r="D271" s="1815" t="s">
        <v>987</v>
      </c>
      <c r="E271" s="1024" t="s">
        <v>988</v>
      </c>
      <c r="F271" s="955">
        <v>4800</v>
      </c>
      <c r="G271" s="1029" t="s">
        <v>282</v>
      </c>
      <c r="H271" s="1817" t="s">
        <v>989</v>
      </c>
      <c r="I271" s="988"/>
      <c r="J271" s="1819"/>
      <c r="K271" s="1819"/>
      <c r="L271" s="1025"/>
      <c r="M271" s="988"/>
      <c r="N271" s="1819"/>
      <c r="O271" s="988"/>
      <c r="P271" s="1819"/>
      <c r="Q271" s="1819"/>
      <c r="R271" s="1832">
        <v>18660</v>
      </c>
      <c r="S271" s="1819"/>
      <c r="T271" s="988"/>
      <c r="U271" s="1813" t="s">
        <v>982</v>
      </c>
    </row>
    <row r="272" spans="1:21" ht="56.25">
      <c r="A272" s="1816"/>
      <c r="B272" s="1816"/>
      <c r="C272" s="1816"/>
      <c r="D272" s="1816"/>
      <c r="E272" s="966" t="s">
        <v>990</v>
      </c>
      <c r="F272" s="967">
        <v>2400</v>
      </c>
      <c r="G272" s="968"/>
      <c r="H272" s="1818"/>
      <c r="I272" s="968"/>
      <c r="J272" s="1820"/>
      <c r="K272" s="1820"/>
      <c r="L272" s="969"/>
      <c r="M272" s="968"/>
      <c r="N272" s="1820"/>
      <c r="O272" s="968"/>
      <c r="P272" s="1820"/>
      <c r="Q272" s="1820"/>
      <c r="R272" s="1833"/>
      <c r="S272" s="1820"/>
      <c r="T272" s="968"/>
      <c r="U272" s="1814"/>
    </row>
    <row r="273" spans="1:21" ht="49.5">
      <c r="A273" s="1816"/>
      <c r="B273" s="1816"/>
      <c r="C273" s="1816"/>
      <c r="D273" s="1816"/>
      <c r="E273" s="1030" t="s">
        <v>991</v>
      </c>
      <c r="F273" s="967">
        <v>5040</v>
      </c>
      <c r="G273" s="957"/>
      <c r="H273" s="1818"/>
      <c r="I273" s="957"/>
      <c r="J273" s="1820"/>
      <c r="K273" s="1820"/>
      <c r="L273" s="969"/>
      <c r="M273" s="957"/>
      <c r="N273" s="1820"/>
      <c r="O273" s="957"/>
      <c r="P273" s="1820"/>
      <c r="Q273" s="1820"/>
      <c r="R273" s="969"/>
      <c r="S273" s="1820"/>
      <c r="T273" s="957"/>
      <c r="U273" s="957"/>
    </row>
    <row r="274" spans="1:21" ht="18.75">
      <c r="A274" s="1816"/>
      <c r="B274" s="970"/>
      <c r="C274" s="970"/>
      <c r="D274" s="1816"/>
      <c r="E274" s="966" t="s">
        <v>992</v>
      </c>
      <c r="F274" s="967">
        <v>2000</v>
      </c>
      <c r="G274" s="957"/>
      <c r="H274" s="1031"/>
      <c r="I274" s="957"/>
      <c r="J274" s="1000"/>
      <c r="K274" s="1000"/>
      <c r="L274" s="973"/>
      <c r="M274" s="957"/>
      <c r="N274" s="1000"/>
      <c r="O274" s="957"/>
      <c r="P274" s="1000"/>
      <c r="Q274" s="1000"/>
      <c r="R274" s="973"/>
      <c r="S274" s="1000"/>
      <c r="T274" s="957"/>
      <c r="U274" s="957"/>
    </row>
    <row r="275" spans="1:21" ht="18.75">
      <c r="A275" s="1816"/>
      <c r="B275" s="970"/>
      <c r="C275" s="970"/>
      <c r="D275" s="1816"/>
      <c r="E275" s="966" t="s">
        <v>983</v>
      </c>
      <c r="F275" s="967">
        <v>4420</v>
      </c>
      <c r="G275" s="957"/>
      <c r="H275" s="1031"/>
      <c r="I275" s="957"/>
      <c r="J275" s="1000"/>
      <c r="K275" s="1000"/>
      <c r="L275" s="973"/>
      <c r="M275" s="957"/>
      <c r="N275" s="1000"/>
      <c r="O275" s="957"/>
      <c r="P275" s="1000"/>
      <c r="Q275" s="1000"/>
      <c r="R275" s="973"/>
      <c r="S275" s="1000"/>
      <c r="T275" s="957"/>
      <c r="U275" s="957"/>
    </row>
    <row r="276" spans="1:21" ht="18.75">
      <c r="A276" s="1816"/>
      <c r="B276" s="970"/>
      <c r="C276" s="970"/>
      <c r="D276" s="1816"/>
      <c r="E276" s="1015"/>
      <c r="F276" s="1032"/>
      <c r="G276" s="957"/>
      <c r="H276" s="957"/>
      <c r="I276" s="957"/>
      <c r="J276" s="957"/>
      <c r="K276" s="957"/>
      <c r="L276" s="973"/>
      <c r="M276" s="957"/>
      <c r="N276" s="957"/>
      <c r="O276" s="957"/>
      <c r="P276" s="957"/>
      <c r="Q276" s="957"/>
      <c r="R276" s="973"/>
      <c r="S276" s="957"/>
      <c r="T276" s="957"/>
      <c r="U276" s="957"/>
    </row>
    <row r="277" spans="1:21" ht="18.75">
      <c r="A277" s="981"/>
      <c r="B277" s="976"/>
      <c r="C277" s="976"/>
      <c r="D277" s="981"/>
      <c r="E277" s="1026" t="s">
        <v>702</v>
      </c>
      <c r="F277" s="1027">
        <f>SUM(F271:F276)</f>
        <v>18660</v>
      </c>
      <c r="G277" s="1028"/>
      <c r="H277" s="1028"/>
      <c r="I277" s="1028"/>
      <c r="J277" s="1028"/>
      <c r="K277" s="1028"/>
      <c r="L277" s="982"/>
      <c r="M277" s="1028"/>
      <c r="N277" s="1028"/>
      <c r="O277" s="1028"/>
      <c r="P277" s="1028"/>
      <c r="Q277" s="1028"/>
      <c r="R277" s="982"/>
      <c r="S277" s="1028"/>
      <c r="T277" s="1028"/>
      <c r="U277" s="1028"/>
    </row>
    <row r="278" spans="1:21" ht="75">
      <c r="A278" s="335" t="s">
        <v>993</v>
      </c>
      <c r="B278" s="335" t="s">
        <v>994</v>
      </c>
      <c r="C278" s="335" t="s">
        <v>995</v>
      </c>
      <c r="D278" s="335" t="s">
        <v>996</v>
      </c>
      <c r="E278" s="905" t="s">
        <v>997</v>
      </c>
      <c r="F278" s="784"/>
      <c r="G278" s="335"/>
      <c r="H278" s="906"/>
      <c r="I278" s="802"/>
      <c r="J278" s="802"/>
      <c r="K278" s="802"/>
      <c r="L278" s="802"/>
      <c r="M278" s="802"/>
      <c r="N278" s="802"/>
      <c r="O278" s="802"/>
      <c r="P278" s="802"/>
      <c r="Q278" s="803"/>
      <c r="R278" s="802"/>
      <c r="S278" s="802"/>
      <c r="T278" s="804"/>
      <c r="U278" s="335" t="s">
        <v>982</v>
      </c>
    </row>
    <row r="279" spans="1:21" ht="18.75">
      <c r="A279" s="1829" t="s">
        <v>998</v>
      </c>
      <c r="B279" s="1830"/>
      <c r="C279" s="1830"/>
      <c r="D279" s="1830"/>
      <c r="E279" s="1831"/>
      <c r="F279" s="904">
        <f>F277+F270</f>
        <v>43940</v>
      </c>
      <c r="G279" s="771"/>
      <c r="H279" s="771"/>
      <c r="I279" s="777"/>
      <c r="J279" s="777"/>
      <c r="K279" s="777"/>
      <c r="L279" s="777"/>
      <c r="M279" s="777"/>
      <c r="N279" s="777"/>
      <c r="O279" s="777"/>
      <c r="P279" s="777"/>
      <c r="Q279" s="777"/>
      <c r="R279" s="777"/>
      <c r="S279" s="777"/>
      <c r="T279" s="777"/>
      <c r="U279" s="771"/>
    </row>
    <row r="281" spans="1:7" ht="18.75">
      <c r="A281" s="907" t="s">
        <v>140</v>
      </c>
      <c r="B281" s="1385" t="s">
        <v>141</v>
      </c>
      <c r="C281" s="1385"/>
      <c r="D281" s="1385"/>
      <c r="E281" s="1385"/>
      <c r="F281" s="234">
        <f>F27+F136+F144+F152+F163+F270+F277</f>
        <v>334740</v>
      </c>
      <c r="G281" s="60" t="s">
        <v>445</v>
      </c>
    </row>
    <row r="282" ht="18.75">
      <c r="F282" s="60">
        <v>150000</v>
      </c>
    </row>
    <row r="283" ht="18.75">
      <c r="F283" s="234">
        <f>F281-F282</f>
        <v>184740</v>
      </c>
    </row>
  </sheetData>
  <sheetProtection/>
  <mergeCells count="436"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T5:T6"/>
    <mergeCell ref="O5:O6"/>
    <mergeCell ref="P5:P6"/>
    <mergeCell ref="Q5:Q6"/>
    <mergeCell ref="R5:R6"/>
    <mergeCell ref="S5:S6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A7:A11"/>
    <mergeCell ref="B7:B8"/>
    <mergeCell ref="C7:C8"/>
    <mergeCell ref="D7:D11"/>
    <mergeCell ref="G7:G10"/>
    <mergeCell ref="H7:H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H12:H13"/>
    <mergeCell ref="I12:I13"/>
    <mergeCell ref="J12:J13"/>
    <mergeCell ref="K12:K13"/>
    <mergeCell ref="O7:O10"/>
    <mergeCell ref="P7:P10"/>
    <mergeCell ref="S12:S13"/>
    <mergeCell ref="T15:T18"/>
    <mergeCell ref="U15:U18"/>
    <mergeCell ref="S15:S18"/>
    <mergeCell ref="U7:U10"/>
    <mergeCell ref="A12:A14"/>
    <mergeCell ref="B12:B14"/>
    <mergeCell ref="C12:C14"/>
    <mergeCell ref="D12:D14"/>
    <mergeCell ref="G12:G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M15:M18"/>
    <mergeCell ref="N15:N18"/>
    <mergeCell ref="O15:O18"/>
    <mergeCell ref="Q15:Q18"/>
    <mergeCell ref="R15:R18"/>
    <mergeCell ref="T12:T13"/>
    <mergeCell ref="N12:N13"/>
    <mergeCell ref="O12:O13"/>
    <mergeCell ref="P12:P13"/>
    <mergeCell ref="Q12:Q13"/>
    <mergeCell ref="T41:T43"/>
    <mergeCell ref="U41:U42"/>
    <mergeCell ref="A20:A26"/>
    <mergeCell ref="B20:B26"/>
    <mergeCell ref="C20:C26"/>
    <mergeCell ref="D20:D26"/>
    <mergeCell ref="G20:G23"/>
    <mergeCell ref="H20:H23"/>
    <mergeCell ref="L20:L23"/>
    <mergeCell ref="R20:R25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M41:M43"/>
    <mergeCell ref="N41:N43"/>
    <mergeCell ref="U20:U25"/>
    <mergeCell ref="B281:E281"/>
    <mergeCell ref="A28:T28"/>
    <mergeCell ref="A29:T29"/>
    <mergeCell ref="A30:A40"/>
    <mergeCell ref="B30:B33"/>
    <mergeCell ref="C30:C33"/>
    <mergeCell ref="D30:D33"/>
    <mergeCell ref="B45:B47"/>
    <mergeCell ref="C45:C47"/>
    <mergeCell ref="D45:D47"/>
    <mergeCell ref="H45:H47"/>
    <mergeCell ref="J45:J47"/>
    <mergeCell ref="L41:L43"/>
    <mergeCell ref="J41:J43"/>
    <mergeCell ref="K41:K43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O41:O43"/>
    <mergeCell ref="P41:P43"/>
    <mergeCell ref="Q41:Q43"/>
    <mergeCell ref="Q45:Q47"/>
    <mergeCell ref="R45:R47"/>
    <mergeCell ref="S45:S47"/>
    <mergeCell ref="R41:R43"/>
    <mergeCell ref="S41:S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A62:A70"/>
    <mergeCell ref="B62:B65"/>
    <mergeCell ref="C62:C65"/>
    <mergeCell ref="D62:D65"/>
    <mergeCell ref="H62:H65"/>
    <mergeCell ref="J62:J65"/>
    <mergeCell ref="K72:K73"/>
    <mergeCell ref="L72:L73"/>
    <mergeCell ref="N72:N74"/>
    <mergeCell ref="P72:P74"/>
    <mergeCell ref="S72:S74"/>
    <mergeCell ref="U58:U59"/>
    <mergeCell ref="K62:K63"/>
    <mergeCell ref="N62:N65"/>
    <mergeCell ref="P62:P65"/>
    <mergeCell ref="S62:S65"/>
    <mergeCell ref="K76:K77"/>
    <mergeCell ref="L76:L77"/>
    <mergeCell ref="N76:N80"/>
    <mergeCell ref="A71:T71"/>
    <mergeCell ref="A72:A75"/>
    <mergeCell ref="B72:B74"/>
    <mergeCell ref="C72:C74"/>
    <mergeCell ref="D72:D74"/>
    <mergeCell ref="H72:H74"/>
    <mergeCell ref="J72:J7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J93:J96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A145:A149"/>
    <mergeCell ref="L145:L147"/>
    <mergeCell ref="P110:P113"/>
    <mergeCell ref="S110:S113"/>
    <mergeCell ref="A120:A123"/>
    <mergeCell ref="A125:E125"/>
    <mergeCell ref="F125:H125"/>
    <mergeCell ref="A126:T126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B145:B149"/>
    <mergeCell ref="K145:K147"/>
    <mergeCell ref="C145:C147"/>
    <mergeCell ref="D145:D148"/>
    <mergeCell ref="H145:H147"/>
    <mergeCell ref="J145:J147"/>
    <mergeCell ref="H137:H143"/>
    <mergeCell ref="J137:J143"/>
    <mergeCell ref="U137:U138"/>
    <mergeCell ref="O137:O143"/>
    <mergeCell ref="P137:P143"/>
    <mergeCell ref="Q137:Q143"/>
    <mergeCell ref="R137:R143"/>
    <mergeCell ref="S137:S143"/>
    <mergeCell ref="K137:K143"/>
    <mergeCell ref="L137:L143"/>
    <mergeCell ref="M137:M143"/>
    <mergeCell ref="T137:T143"/>
    <mergeCell ref="N137:N143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S153:S162"/>
    <mergeCell ref="T153:T162"/>
    <mergeCell ref="N153:N162"/>
    <mergeCell ref="O153:O162"/>
    <mergeCell ref="P153:P162"/>
    <mergeCell ref="Q153:Q162"/>
    <mergeCell ref="O145:O147"/>
    <mergeCell ref="P145:P147"/>
    <mergeCell ref="J153:J162"/>
    <mergeCell ref="K153:K162"/>
    <mergeCell ref="M145:M147"/>
    <mergeCell ref="R153:R162"/>
    <mergeCell ref="Q145:Q147"/>
    <mergeCell ref="R145:R147"/>
    <mergeCell ref="S174:S177"/>
    <mergeCell ref="H174:H177"/>
    <mergeCell ref="U174:U175"/>
    <mergeCell ref="L153:L162"/>
    <mergeCell ref="M153:M162"/>
    <mergeCell ref="S145:S147"/>
    <mergeCell ref="T145:T147"/>
    <mergeCell ref="U145:U146"/>
    <mergeCell ref="U153:U155"/>
    <mergeCell ref="N145:N147"/>
    <mergeCell ref="H164:H167"/>
    <mergeCell ref="A185:T185"/>
    <mergeCell ref="N164:N167"/>
    <mergeCell ref="P164:P167"/>
    <mergeCell ref="S164:S167"/>
    <mergeCell ref="J164:J167"/>
    <mergeCell ref="G174:G176"/>
    <mergeCell ref="J174:J177"/>
    <mergeCell ref="N174:N177"/>
    <mergeCell ref="P174:P177"/>
    <mergeCell ref="U164:U165"/>
    <mergeCell ref="A173:T173"/>
    <mergeCell ref="A174:A184"/>
    <mergeCell ref="B174:B177"/>
    <mergeCell ref="C174:C177"/>
    <mergeCell ref="D174:D177"/>
    <mergeCell ref="A164:A172"/>
    <mergeCell ref="B164:B167"/>
    <mergeCell ref="C164:C167"/>
    <mergeCell ref="D164:D167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K186:K189"/>
    <mergeCell ref="N186:N189"/>
    <mergeCell ref="P186:P189"/>
    <mergeCell ref="S186:S189"/>
    <mergeCell ref="U186:U187"/>
    <mergeCell ref="J186:J189"/>
    <mergeCell ref="J196:J199"/>
    <mergeCell ref="K196:K199"/>
    <mergeCell ref="N196:N199"/>
    <mergeCell ref="P196:P199"/>
    <mergeCell ref="S196:S199"/>
    <mergeCell ref="U196:U19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K204:K207"/>
    <mergeCell ref="N204:N207"/>
    <mergeCell ref="P204:P207"/>
    <mergeCell ref="S204:S207"/>
    <mergeCell ref="U204:U206"/>
    <mergeCell ref="J204:J207"/>
    <mergeCell ref="J217:J220"/>
    <mergeCell ref="K217:K220"/>
    <mergeCell ref="N217:N220"/>
    <mergeCell ref="P217:P220"/>
    <mergeCell ref="S217:S220"/>
    <mergeCell ref="U217:U220"/>
    <mergeCell ref="A222:A226"/>
    <mergeCell ref="B222:B225"/>
    <mergeCell ref="C222:C225"/>
    <mergeCell ref="D222:D225"/>
    <mergeCell ref="H222:H225"/>
    <mergeCell ref="J222:J225"/>
    <mergeCell ref="K222:K225"/>
    <mergeCell ref="N222:N225"/>
    <mergeCell ref="P222:P225"/>
    <mergeCell ref="Q222:Q225"/>
    <mergeCell ref="S222:S225"/>
    <mergeCell ref="U222:U224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O254:O257"/>
    <mergeCell ref="P254:P257"/>
    <mergeCell ref="K237:K240"/>
    <mergeCell ref="N237:N240"/>
    <mergeCell ref="P237:P240"/>
    <mergeCell ref="Q237:Q240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H254:H257"/>
    <mergeCell ref="J254:J257"/>
    <mergeCell ref="K254:K257"/>
    <mergeCell ref="N254:N257"/>
    <mergeCell ref="K244:K247"/>
    <mergeCell ref="N244:N247"/>
    <mergeCell ref="N267:N269"/>
    <mergeCell ref="P267:P269"/>
    <mergeCell ref="Q267:Q269"/>
    <mergeCell ref="S267:S269"/>
    <mergeCell ref="U244:U246"/>
    <mergeCell ref="A253:T253"/>
    <mergeCell ref="A254:A258"/>
    <mergeCell ref="B254:B257"/>
    <mergeCell ref="C254:C257"/>
    <mergeCell ref="D254:D258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0:N262"/>
    <mergeCell ref="P260:P262"/>
    <mergeCell ref="Q260:Q262"/>
    <mergeCell ref="S260:S262"/>
    <mergeCell ref="A279:E279"/>
    <mergeCell ref="J271:J273"/>
    <mergeCell ref="K271:K273"/>
    <mergeCell ref="N271:N273"/>
    <mergeCell ref="P271:P273"/>
    <mergeCell ref="Q271:Q273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C19">
      <selection activeCell="H2" sqref="H1:U16384"/>
    </sheetView>
  </sheetViews>
  <sheetFormatPr defaultColWidth="8.57421875" defaultRowHeight="15"/>
  <cols>
    <col min="1" max="5" width="22.57421875" style="150" customWidth="1"/>
    <col min="6" max="6" width="7.421875" style="150" customWidth="1"/>
    <col min="7" max="7" width="8.00390625" style="150" customWidth="1"/>
    <col min="8" max="8" width="6.57421875" style="150" customWidth="1"/>
    <col min="9" max="9" width="3.57421875" style="150" customWidth="1"/>
    <col min="10" max="10" width="3.421875" style="150" customWidth="1"/>
    <col min="11" max="14" width="4.421875" style="150" customWidth="1"/>
    <col min="15" max="15" width="4.57421875" style="150" customWidth="1"/>
    <col min="16" max="20" width="4.421875" style="150" customWidth="1"/>
    <col min="21" max="21" width="9.57421875" style="150" customWidth="1"/>
    <col min="22" max="22" width="8.57421875" style="147" customWidth="1"/>
    <col min="23" max="23" width="9.421875" style="147" bestFit="1" customWidth="1"/>
    <col min="24" max="16384" width="8.57421875" style="147" customWidth="1"/>
  </cols>
  <sheetData>
    <row r="1" spans="1:21" ht="24">
      <c r="A1" s="1309" t="s">
        <v>41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5" ht="24">
      <c r="A2" s="1310" t="s">
        <v>1451</v>
      </c>
      <c r="B2" s="1310"/>
      <c r="C2" s="1310"/>
      <c r="D2" s="1310"/>
      <c r="E2" s="236"/>
    </row>
    <row r="3" spans="1:21" ht="21.75">
      <c r="A3" s="229" t="s">
        <v>1319</v>
      </c>
      <c r="B3" s="229"/>
      <c r="C3" s="229"/>
      <c r="D3" s="229"/>
      <c r="E3" s="229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21.75">
      <c r="A4" s="1911" t="s">
        <v>44</v>
      </c>
      <c r="B4" s="1911" t="s">
        <v>45</v>
      </c>
      <c r="C4" s="1911" t="s">
        <v>46</v>
      </c>
      <c r="D4" s="1911" t="s">
        <v>47</v>
      </c>
      <c r="E4" s="1912" t="s">
        <v>48</v>
      </c>
      <c r="F4" s="1913"/>
      <c r="G4" s="1914"/>
      <c r="H4" s="1911" t="s">
        <v>49</v>
      </c>
      <c r="I4" s="1911" t="s">
        <v>50</v>
      </c>
      <c r="J4" s="1911"/>
      <c r="K4" s="1911"/>
      <c r="L4" s="1911"/>
      <c r="M4" s="1911"/>
      <c r="N4" s="1911"/>
      <c r="O4" s="1911"/>
      <c r="P4" s="1911"/>
      <c r="Q4" s="1911"/>
      <c r="R4" s="1911"/>
      <c r="S4" s="1911"/>
      <c r="T4" s="1911"/>
      <c r="U4" s="1915" t="s">
        <v>153</v>
      </c>
    </row>
    <row r="5" spans="1:21" ht="21.75">
      <c r="A5" s="1911"/>
      <c r="B5" s="1911"/>
      <c r="C5" s="1911"/>
      <c r="D5" s="1911"/>
      <c r="E5" s="1915" t="s">
        <v>52</v>
      </c>
      <c r="F5" s="1911" t="s">
        <v>53</v>
      </c>
      <c r="G5" s="1911" t="s">
        <v>54</v>
      </c>
      <c r="H5" s="1911"/>
      <c r="I5" s="1911" t="s">
        <v>55</v>
      </c>
      <c r="J5" s="1911" t="s">
        <v>56</v>
      </c>
      <c r="K5" s="1911" t="s">
        <v>57</v>
      </c>
      <c r="L5" s="1911" t="s">
        <v>58</v>
      </c>
      <c r="M5" s="1911" t="s">
        <v>59</v>
      </c>
      <c r="N5" s="1911" t="s">
        <v>60</v>
      </c>
      <c r="O5" s="1911" t="s">
        <v>61</v>
      </c>
      <c r="P5" s="1911" t="s">
        <v>62</v>
      </c>
      <c r="Q5" s="1911" t="s">
        <v>63</v>
      </c>
      <c r="R5" s="1911" t="s">
        <v>64</v>
      </c>
      <c r="S5" s="1911" t="s">
        <v>65</v>
      </c>
      <c r="T5" s="1911" t="s">
        <v>66</v>
      </c>
      <c r="U5" s="1916"/>
    </row>
    <row r="6" spans="1:21" ht="21.75">
      <c r="A6" s="1911"/>
      <c r="B6" s="1911"/>
      <c r="C6" s="1911"/>
      <c r="D6" s="1911"/>
      <c r="E6" s="1917"/>
      <c r="F6" s="1911"/>
      <c r="G6" s="1911"/>
      <c r="H6" s="1911"/>
      <c r="I6" s="1911"/>
      <c r="J6" s="1911"/>
      <c r="K6" s="1911"/>
      <c r="L6" s="1911"/>
      <c r="M6" s="1911"/>
      <c r="N6" s="1911"/>
      <c r="O6" s="1911"/>
      <c r="P6" s="1911"/>
      <c r="Q6" s="1911"/>
      <c r="R6" s="1911"/>
      <c r="S6" s="1911"/>
      <c r="T6" s="1911"/>
      <c r="U6" s="1917"/>
    </row>
    <row r="7" spans="1:21" ht="31.5" customHeight="1">
      <c r="A7" s="1905" t="s">
        <v>1320</v>
      </c>
      <c r="B7" s="1905"/>
      <c r="C7" s="1905"/>
      <c r="D7" s="1905"/>
      <c r="E7" s="1905"/>
      <c r="F7" s="1905"/>
      <c r="G7" s="1905"/>
      <c r="H7" s="1905"/>
      <c r="I7" s="1905"/>
      <c r="J7" s="1905"/>
      <c r="K7" s="1905"/>
      <c r="L7" s="1905"/>
      <c r="M7" s="1905"/>
      <c r="N7" s="1905"/>
      <c r="O7" s="1905"/>
      <c r="P7" s="1905"/>
      <c r="Q7" s="1905"/>
      <c r="R7" s="1905"/>
      <c r="S7" s="1905"/>
      <c r="T7" s="1905"/>
      <c r="U7" s="1906"/>
    </row>
    <row r="8" spans="1:21" ht="21.75">
      <c r="A8" s="1907" t="s">
        <v>1321</v>
      </c>
      <c r="B8" s="1453" t="s">
        <v>1322</v>
      </c>
      <c r="C8" s="1453" t="s">
        <v>1323</v>
      </c>
      <c r="D8" s="1453" t="s">
        <v>1324</v>
      </c>
      <c r="E8" s="569" t="s">
        <v>1325</v>
      </c>
      <c r="F8" s="570">
        <v>1000</v>
      </c>
      <c r="G8" s="1457" t="s">
        <v>1326</v>
      </c>
      <c r="H8" s="1438" t="s">
        <v>1327</v>
      </c>
      <c r="I8" s="1359"/>
      <c r="J8" s="1359"/>
      <c r="K8" s="1903"/>
      <c r="L8" s="1903">
        <v>4240</v>
      </c>
      <c r="M8" s="1433"/>
      <c r="N8" s="1903"/>
      <c r="O8" s="1903">
        <v>5760</v>
      </c>
      <c r="P8" s="1433"/>
      <c r="Q8" s="1903"/>
      <c r="R8" s="1359"/>
      <c r="S8" s="1359"/>
      <c r="T8" s="1359"/>
      <c r="U8" s="411" t="s">
        <v>282</v>
      </c>
    </row>
    <row r="9" spans="1:21" ht="65.25">
      <c r="A9" s="1908"/>
      <c r="B9" s="1454"/>
      <c r="C9" s="1454"/>
      <c r="D9" s="1454"/>
      <c r="E9" s="566" t="s">
        <v>1328</v>
      </c>
      <c r="F9" s="571">
        <v>3240</v>
      </c>
      <c r="G9" s="1458"/>
      <c r="H9" s="1439"/>
      <c r="I9" s="1900"/>
      <c r="J9" s="1900"/>
      <c r="K9" s="1904"/>
      <c r="L9" s="1904"/>
      <c r="M9" s="1434"/>
      <c r="N9" s="1904"/>
      <c r="O9" s="1904"/>
      <c r="P9" s="1434"/>
      <c r="Q9" s="1904"/>
      <c r="R9" s="1900"/>
      <c r="S9" s="1900"/>
      <c r="T9" s="1900"/>
      <c r="U9" s="161"/>
    </row>
    <row r="10" spans="1:21" ht="87">
      <c r="A10" s="1908"/>
      <c r="B10" s="1454"/>
      <c r="C10" s="1454"/>
      <c r="D10" s="1454"/>
      <c r="E10" s="566" t="s">
        <v>1329</v>
      </c>
      <c r="F10" s="571"/>
      <c r="G10" s="1458"/>
      <c r="H10" s="1439"/>
      <c r="I10" s="1900"/>
      <c r="J10" s="1900"/>
      <c r="K10" s="1904"/>
      <c r="L10" s="1904"/>
      <c r="M10" s="1434"/>
      <c r="N10" s="1904"/>
      <c r="O10" s="1904"/>
      <c r="P10" s="1434"/>
      <c r="Q10" s="1904"/>
      <c r="R10" s="1900"/>
      <c r="S10" s="1900"/>
      <c r="T10" s="1900"/>
      <c r="U10" s="161"/>
    </row>
    <row r="11" spans="1:21" ht="43.5">
      <c r="A11" s="1908"/>
      <c r="B11" s="1454"/>
      <c r="C11" s="1454"/>
      <c r="D11" s="1454"/>
      <c r="E11" s="572" t="s">
        <v>1330</v>
      </c>
      <c r="F11" s="573">
        <v>2400</v>
      </c>
      <c r="G11" s="1458"/>
      <c r="H11" s="1439"/>
      <c r="I11" s="1900"/>
      <c r="J11" s="1900"/>
      <c r="K11" s="1904"/>
      <c r="L11" s="1904"/>
      <c r="M11" s="1434"/>
      <c r="N11" s="1904"/>
      <c r="O11" s="1904"/>
      <c r="P11" s="1434"/>
      <c r="Q11" s="1904"/>
      <c r="R11" s="1900"/>
      <c r="S11" s="1900"/>
      <c r="T11" s="1900"/>
      <c r="U11" s="161"/>
    </row>
    <row r="12" spans="1:23" ht="41.25" customHeight="1">
      <c r="A12" s="1908"/>
      <c r="B12" s="1454"/>
      <c r="C12" s="1454"/>
      <c r="D12" s="1454"/>
      <c r="E12" s="574" t="s">
        <v>1331</v>
      </c>
      <c r="F12" s="575">
        <v>3360</v>
      </c>
      <c r="G12" s="1458"/>
      <c r="H12" s="1439"/>
      <c r="I12" s="1900"/>
      <c r="J12" s="1900"/>
      <c r="K12" s="1904"/>
      <c r="L12" s="1904"/>
      <c r="M12" s="1434"/>
      <c r="N12" s="1904"/>
      <c r="O12" s="1904"/>
      <c r="P12" s="1434"/>
      <c r="Q12" s="1904"/>
      <c r="R12" s="1900"/>
      <c r="S12" s="1900"/>
      <c r="T12" s="1900"/>
      <c r="U12" s="161"/>
      <c r="W12" s="153"/>
    </row>
    <row r="13" spans="1:23" ht="34.5">
      <c r="A13" s="576"/>
      <c r="B13" s="577"/>
      <c r="C13" s="577"/>
      <c r="D13" s="577"/>
      <c r="E13" s="578" t="s">
        <v>4</v>
      </c>
      <c r="F13" s="579">
        <f>SUM(F8:F12)</f>
        <v>10000</v>
      </c>
      <c r="G13" s="580"/>
      <c r="H13" s="580"/>
      <c r="I13" s="581"/>
      <c r="J13" s="581"/>
      <c r="K13" s="582"/>
      <c r="L13" s="582">
        <v>4240</v>
      </c>
      <c r="M13" s="583"/>
      <c r="N13" s="582"/>
      <c r="O13" s="582">
        <v>5760</v>
      </c>
      <c r="P13" s="583"/>
      <c r="Q13" s="582"/>
      <c r="R13" s="581"/>
      <c r="S13" s="581"/>
      <c r="T13" s="581"/>
      <c r="U13" s="580" t="s">
        <v>282</v>
      </c>
      <c r="W13" s="153"/>
    </row>
    <row r="14" spans="1:25" ht="108.75">
      <c r="A14" s="584" t="s">
        <v>1452</v>
      </c>
      <c r="B14" s="585" t="s">
        <v>1333</v>
      </c>
      <c r="C14" s="586" t="s">
        <v>1334</v>
      </c>
      <c r="D14" s="586" t="s">
        <v>1335</v>
      </c>
      <c r="E14" s="411" t="s">
        <v>1336</v>
      </c>
      <c r="F14" s="587">
        <v>1600</v>
      </c>
      <c r="G14" s="1909" t="s">
        <v>1337</v>
      </c>
      <c r="H14" s="1438" t="s">
        <v>1338</v>
      </c>
      <c r="I14" s="1359"/>
      <c r="J14" s="1359"/>
      <c r="K14" s="1359"/>
      <c r="L14" s="1359"/>
      <c r="M14" s="1359"/>
      <c r="N14" s="1903">
        <v>2450</v>
      </c>
      <c r="O14" s="1359"/>
      <c r="P14" s="1359"/>
      <c r="Q14" s="1359"/>
      <c r="R14" s="1903">
        <v>2450</v>
      </c>
      <c r="S14" s="1359"/>
      <c r="T14" s="1359"/>
      <c r="U14" s="1438" t="s">
        <v>1339</v>
      </c>
      <c r="Y14" s="147">
        <v>800</v>
      </c>
    </row>
    <row r="15" spans="1:25" ht="87">
      <c r="A15" s="588"/>
      <c r="B15" s="589"/>
      <c r="C15" s="589"/>
      <c r="D15" s="589"/>
      <c r="E15" s="161" t="s">
        <v>1340</v>
      </c>
      <c r="F15" s="160">
        <v>800</v>
      </c>
      <c r="G15" s="1910"/>
      <c r="H15" s="1439"/>
      <c r="I15" s="1900"/>
      <c r="J15" s="1900"/>
      <c r="K15" s="1900"/>
      <c r="L15" s="1900"/>
      <c r="M15" s="1900"/>
      <c r="N15" s="1904"/>
      <c r="O15" s="1900"/>
      <c r="P15" s="1900"/>
      <c r="Q15" s="1900"/>
      <c r="R15" s="1904"/>
      <c r="S15" s="1900"/>
      <c r="T15" s="1900"/>
      <c r="U15" s="1439"/>
      <c r="Y15" s="147">
        <v>400</v>
      </c>
    </row>
    <row r="16" spans="1:25" ht="65.25">
      <c r="A16" s="588"/>
      <c r="B16" s="589"/>
      <c r="C16" s="589"/>
      <c r="D16" s="589"/>
      <c r="E16" s="161" t="s">
        <v>1341</v>
      </c>
      <c r="F16" s="590">
        <v>2500</v>
      </c>
      <c r="G16" s="1910"/>
      <c r="H16" s="1439"/>
      <c r="I16" s="1900"/>
      <c r="J16" s="1900"/>
      <c r="K16" s="1900"/>
      <c r="L16" s="1900"/>
      <c r="M16" s="1900"/>
      <c r="N16" s="1904"/>
      <c r="O16" s="1900"/>
      <c r="P16" s="1900"/>
      <c r="Q16" s="1900"/>
      <c r="R16" s="1904"/>
      <c r="S16" s="1900"/>
      <c r="T16" s="1900"/>
      <c r="U16" s="1439"/>
      <c r="Y16" s="147">
        <v>1250</v>
      </c>
    </row>
    <row r="17" spans="1:21" ht="26.25">
      <c r="A17" s="591"/>
      <c r="B17" s="592"/>
      <c r="C17" s="593"/>
      <c r="D17" s="593"/>
      <c r="E17" s="594" t="s">
        <v>4</v>
      </c>
      <c r="F17" s="595">
        <f>SUM(F14:F16)</f>
        <v>4900</v>
      </c>
      <c r="G17" s="596"/>
      <c r="H17" s="597"/>
      <c r="I17" s="597"/>
      <c r="J17" s="597"/>
      <c r="K17" s="597"/>
      <c r="L17" s="597"/>
      <c r="M17" s="597"/>
      <c r="N17" s="598">
        <v>2450</v>
      </c>
      <c r="O17" s="598"/>
      <c r="P17" s="598"/>
      <c r="Q17" s="598"/>
      <c r="R17" s="598">
        <v>2450</v>
      </c>
      <c r="S17" s="597"/>
      <c r="T17" s="599"/>
      <c r="U17" s="596" t="s">
        <v>282</v>
      </c>
    </row>
    <row r="18" spans="1:21" ht="43.5">
      <c r="A18" s="600" t="s">
        <v>1342</v>
      </c>
      <c r="B18" s="601" t="s">
        <v>1343</v>
      </c>
      <c r="C18" s="601"/>
      <c r="D18" s="601" t="s">
        <v>1344</v>
      </c>
      <c r="E18" s="602" t="s">
        <v>201</v>
      </c>
      <c r="F18" s="579"/>
      <c r="G18" s="603"/>
      <c r="H18" s="604"/>
      <c r="I18" s="604"/>
      <c r="J18" s="604"/>
      <c r="K18" s="604"/>
      <c r="L18" s="604"/>
      <c r="M18" s="604"/>
      <c r="N18" s="605"/>
      <c r="O18" s="605"/>
      <c r="P18" s="605"/>
      <c r="Q18" s="605"/>
      <c r="R18" s="605"/>
      <c r="S18" s="604"/>
      <c r="T18" s="606"/>
      <c r="U18" s="602"/>
    </row>
    <row r="19" spans="1:21" ht="108.75">
      <c r="A19" s="607" t="s">
        <v>1345</v>
      </c>
      <c r="B19" s="411" t="s">
        <v>1346</v>
      </c>
      <c r="C19" s="411" t="s">
        <v>1347</v>
      </c>
      <c r="D19" s="411" t="s">
        <v>1348</v>
      </c>
      <c r="E19" s="411" t="s">
        <v>1349</v>
      </c>
      <c r="F19" s="587">
        <v>4800</v>
      </c>
      <c r="G19" s="411" t="s">
        <v>1350</v>
      </c>
      <c r="H19" s="411" t="s">
        <v>1338</v>
      </c>
      <c r="I19" s="1359"/>
      <c r="J19" s="1359"/>
      <c r="K19" s="1359"/>
      <c r="L19" s="1359"/>
      <c r="M19" s="1359"/>
      <c r="N19" s="1901">
        <v>7200</v>
      </c>
      <c r="O19" s="1359"/>
      <c r="P19" s="1359"/>
      <c r="Q19" s="1903"/>
      <c r="R19" s="1903"/>
      <c r="S19" s="1359"/>
      <c r="T19" s="1359"/>
      <c r="U19" s="1438" t="s">
        <v>218</v>
      </c>
    </row>
    <row r="20" spans="1:21" ht="76.5" customHeight="1">
      <c r="A20" s="608"/>
      <c r="B20" s="161"/>
      <c r="C20" s="161"/>
      <c r="D20" s="161"/>
      <c r="E20" s="161" t="s">
        <v>1351</v>
      </c>
      <c r="F20" s="590">
        <v>2400</v>
      </c>
      <c r="G20" s="161"/>
      <c r="H20" s="161"/>
      <c r="I20" s="1900"/>
      <c r="J20" s="1900"/>
      <c r="K20" s="1900"/>
      <c r="L20" s="1900"/>
      <c r="M20" s="1900"/>
      <c r="N20" s="1902"/>
      <c r="O20" s="1900"/>
      <c r="P20" s="1900"/>
      <c r="Q20" s="1904"/>
      <c r="R20" s="1904"/>
      <c r="S20" s="1900"/>
      <c r="T20" s="1900"/>
      <c r="U20" s="1439"/>
    </row>
    <row r="21" spans="1:21" ht="45.75" customHeight="1">
      <c r="A21" s="609"/>
      <c r="B21" s="610"/>
      <c r="C21" s="610"/>
      <c r="D21" s="611"/>
      <c r="E21" s="612" t="s">
        <v>4</v>
      </c>
      <c r="F21" s="579">
        <f>SUM(F19:F20)</f>
        <v>7200</v>
      </c>
      <c r="G21" s="613" t="s">
        <v>1332</v>
      </c>
      <c r="H21" s="610"/>
      <c r="I21" s="614"/>
      <c r="J21" s="615"/>
      <c r="K21" s="615"/>
      <c r="L21" s="615"/>
      <c r="M21" s="615"/>
      <c r="N21" s="615">
        <v>7200</v>
      </c>
      <c r="O21" s="615"/>
      <c r="P21" s="615"/>
      <c r="Q21" s="615"/>
      <c r="R21" s="615"/>
      <c r="S21" s="615"/>
      <c r="T21" s="615"/>
      <c r="U21" s="580" t="s">
        <v>218</v>
      </c>
    </row>
    <row r="22" spans="1:21" ht="21.75">
      <c r="A22" s="616" t="s">
        <v>1352</v>
      </c>
      <c r="B22" s="617"/>
      <c r="C22" s="617"/>
      <c r="D22" s="567"/>
      <c r="E22" s="409"/>
      <c r="F22" s="618"/>
      <c r="G22" s="408"/>
      <c r="H22" s="617"/>
      <c r="I22" s="619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408"/>
    </row>
    <row r="23" spans="1:21" ht="65.25">
      <c r="A23" s="1894" t="s">
        <v>1353</v>
      </c>
      <c r="B23" s="1897" t="s">
        <v>1354</v>
      </c>
      <c r="C23" s="1897" t="s">
        <v>1355</v>
      </c>
      <c r="D23" s="1897" t="s">
        <v>1356</v>
      </c>
      <c r="E23" s="621" t="s">
        <v>1357</v>
      </c>
      <c r="F23" s="587">
        <v>3200</v>
      </c>
      <c r="G23" s="622"/>
      <c r="H23" s="587"/>
      <c r="I23" s="1406"/>
      <c r="J23" s="1891"/>
      <c r="K23" s="1891"/>
      <c r="L23" s="1891"/>
      <c r="M23" s="623">
        <v>1600</v>
      </c>
      <c r="N23" s="1891"/>
      <c r="O23" s="1891"/>
      <c r="P23" s="1891"/>
      <c r="Q23" s="1891"/>
      <c r="R23" s="623">
        <v>1600</v>
      </c>
      <c r="S23" s="1891"/>
      <c r="T23" s="1891"/>
      <c r="U23" s="1457" t="s">
        <v>218</v>
      </c>
    </row>
    <row r="24" spans="1:21" ht="87">
      <c r="A24" s="1895"/>
      <c r="B24" s="1898"/>
      <c r="C24" s="1898"/>
      <c r="D24" s="1898"/>
      <c r="E24" s="624" t="s">
        <v>1358</v>
      </c>
      <c r="F24" s="575">
        <v>1600</v>
      </c>
      <c r="G24" s="258"/>
      <c r="H24" s="575"/>
      <c r="I24" s="1408"/>
      <c r="J24" s="1892"/>
      <c r="K24" s="1892"/>
      <c r="L24" s="1892"/>
      <c r="M24" s="625">
        <v>800</v>
      </c>
      <c r="N24" s="1892"/>
      <c r="O24" s="1892"/>
      <c r="P24" s="1892"/>
      <c r="Q24" s="1892"/>
      <c r="R24" s="625">
        <v>800</v>
      </c>
      <c r="S24" s="1892"/>
      <c r="T24" s="1892"/>
      <c r="U24" s="1458"/>
    </row>
    <row r="25" spans="1:21" ht="34.5">
      <c r="A25" s="1896"/>
      <c r="B25" s="1899"/>
      <c r="C25" s="1899"/>
      <c r="D25" s="1899"/>
      <c r="E25" s="626" t="s">
        <v>1359</v>
      </c>
      <c r="F25" s="627">
        <v>3000</v>
      </c>
      <c r="G25" s="628"/>
      <c r="H25" s="627"/>
      <c r="I25" s="1407"/>
      <c r="J25" s="1893"/>
      <c r="K25" s="1893"/>
      <c r="L25" s="1893"/>
      <c r="M25" s="629">
        <v>3000</v>
      </c>
      <c r="N25" s="1893"/>
      <c r="O25" s="1893"/>
      <c r="P25" s="1893"/>
      <c r="Q25" s="1893"/>
      <c r="R25" s="630"/>
      <c r="S25" s="1893"/>
      <c r="T25" s="1893"/>
      <c r="U25" s="1459"/>
    </row>
    <row r="26" spans="1:21" ht="66" customHeight="1">
      <c r="A26" s="412"/>
      <c r="B26" s="631"/>
      <c r="C26" s="631"/>
      <c r="D26" s="632"/>
      <c r="E26" s="633" t="s">
        <v>1453</v>
      </c>
      <c r="F26" s="627">
        <v>8000</v>
      </c>
      <c r="G26" s="634"/>
      <c r="H26" s="627"/>
      <c r="I26" s="249"/>
      <c r="J26" s="410"/>
      <c r="K26" s="410"/>
      <c r="L26" s="410"/>
      <c r="M26" s="410">
        <v>4000</v>
      </c>
      <c r="N26" s="410"/>
      <c r="O26" s="410"/>
      <c r="P26" s="410"/>
      <c r="Q26" s="410"/>
      <c r="R26" s="410">
        <v>4000</v>
      </c>
      <c r="S26" s="410"/>
      <c r="T26" s="410"/>
      <c r="U26" s="266"/>
    </row>
    <row r="27" spans="1:21" ht="34.5">
      <c r="A27" s="609"/>
      <c r="B27" s="610"/>
      <c r="C27" s="610"/>
      <c r="D27" s="611"/>
      <c r="E27" s="612" t="s">
        <v>4</v>
      </c>
      <c r="F27" s="579">
        <f>F23+F24+F25+F26</f>
        <v>15800</v>
      </c>
      <c r="G27" s="613"/>
      <c r="H27" s="610"/>
      <c r="I27" s="614"/>
      <c r="J27" s="615"/>
      <c r="K27" s="615"/>
      <c r="L27" s="615"/>
      <c r="M27" s="615">
        <f>M23+M24+M25+M26</f>
        <v>9400</v>
      </c>
      <c r="N27" s="615"/>
      <c r="O27" s="615"/>
      <c r="P27" s="615"/>
      <c r="Q27" s="615"/>
      <c r="R27" s="615">
        <f>R23+R24+R26</f>
        <v>6400</v>
      </c>
      <c r="S27" s="615"/>
      <c r="T27" s="615"/>
      <c r="U27" s="580" t="s">
        <v>1360</v>
      </c>
    </row>
    <row r="28" spans="1:21" ht="21.75">
      <c r="A28" s="635" t="s">
        <v>1361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7"/>
    </row>
    <row r="29" spans="1:21" ht="108.75">
      <c r="A29" s="638" t="s">
        <v>1362</v>
      </c>
      <c r="B29" s="102" t="s">
        <v>1363</v>
      </c>
      <c r="C29" s="102" t="s">
        <v>1364</v>
      </c>
      <c r="D29" s="102" t="s">
        <v>1365</v>
      </c>
      <c r="E29" s="102"/>
      <c r="F29" s="639">
        <v>216000</v>
      </c>
      <c r="G29" s="408" t="s">
        <v>1337</v>
      </c>
      <c r="H29" s="102" t="s">
        <v>1366</v>
      </c>
      <c r="I29" s="640">
        <v>18000</v>
      </c>
      <c r="J29" s="640">
        <v>18000</v>
      </c>
      <c r="K29" s="640">
        <v>18000</v>
      </c>
      <c r="L29" s="640">
        <v>18000</v>
      </c>
      <c r="M29" s="640">
        <v>18000</v>
      </c>
      <c r="N29" s="640">
        <v>18000</v>
      </c>
      <c r="O29" s="640">
        <v>18000</v>
      </c>
      <c r="P29" s="640">
        <v>18000</v>
      </c>
      <c r="Q29" s="640">
        <v>18000</v>
      </c>
      <c r="R29" s="640">
        <v>18000</v>
      </c>
      <c r="S29" s="640">
        <v>18000</v>
      </c>
      <c r="T29" s="640">
        <v>18000</v>
      </c>
      <c r="U29" s="80" t="s">
        <v>1367</v>
      </c>
    </row>
    <row r="30" spans="1:21" ht="21.75">
      <c r="A30" s="609"/>
      <c r="B30" s="610"/>
      <c r="C30" s="610"/>
      <c r="D30" s="611"/>
      <c r="E30" s="612" t="s">
        <v>4</v>
      </c>
      <c r="F30" s="579">
        <f>SUM(F29)</f>
        <v>216000</v>
      </c>
      <c r="G30" s="613"/>
      <c r="H30" s="610"/>
      <c r="I30" s="614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580"/>
    </row>
    <row r="31" spans="1:21" ht="21.75">
      <c r="A31" s="1887" t="s">
        <v>1368</v>
      </c>
      <c r="B31" s="1888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2"/>
    </row>
    <row r="32" spans="1:21" ht="20.25" customHeight="1">
      <c r="A32" s="1889" t="s">
        <v>1369</v>
      </c>
      <c r="B32" s="1890"/>
      <c r="C32" s="1890"/>
      <c r="D32" s="1890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4"/>
    </row>
    <row r="33" spans="1:21" ht="174">
      <c r="A33" s="159" t="s">
        <v>1370</v>
      </c>
      <c r="B33" s="159" t="s">
        <v>1371</v>
      </c>
      <c r="C33" s="159" t="s">
        <v>1372</v>
      </c>
      <c r="D33" s="159" t="s">
        <v>1373</v>
      </c>
      <c r="E33" s="297" t="s">
        <v>201</v>
      </c>
      <c r="F33" s="298"/>
      <c r="G33" s="298"/>
      <c r="H33" s="298"/>
      <c r="I33" s="645">
        <v>29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 t="s">
        <v>1374</v>
      </c>
    </row>
    <row r="34" spans="1:21" ht="21.75">
      <c r="A34" s="1878" t="s">
        <v>1375</v>
      </c>
      <c r="B34" s="1879"/>
      <c r="C34" s="1879"/>
      <c r="D34" s="1879"/>
      <c r="E34" s="1879"/>
      <c r="F34" s="1879"/>
      <c r="G34" s="1879"/>
      <c r="H34" s="1879"/>
      <c r="I34" s="1882"/>
      <c r="J34" s="1882"/>
      <c r="K34" s="1882"/>
      <c r="L34" s="1882"/>
      <c r="M34" s="1882"/>
      <c r="N34" s="1882"/>
      <c r="O34" s="1882"/>
      <c r="P34" s="1882"/>
      <c r="Q34" s="1882"/>
      <c r="R34" s="1882"/>
      <c r="S34" s="1882"/>
      <c r="T34" s="1882"/>
      <c r="U34" s="1880"/>
    </row>
    <row r="35" spans="1:21" ht="21.75">
      <c r="A35" s="1398" t="s">
        <v>1376</v>
      </c>
      <c r="B35" s="1398" t="s">
        <v>1377</v>
      </c>
      <c r="C35" s="1453" t="s">
        <v>1378</v>
      </c>
      <c r="D35" s="154" t="s">
        <v>1379</v>
      </c>
      <c r="E35" s="646" t="s">
        <v>1380</v>
      </c>
      <c r="F35" s="647">
        <v>25000</v>
      </c>
      <c r="G35" s="154"/>
      <c r="H35" s="648"/>
      <c r="I35" s="154"/>
      <c r="J35" s="154"/>
      <c r="K35" s="154"/>
      <c r="L35" s="154"/>
      <c r="M35" s="648">
        <v>25000</v>
      </c>
      <c r="N35" s="154"/>
      <c r="O35" s="154"/>
      <c r="P35" s="154"/>
      <c r="Q35" s="154"/>
      <c r="R35" s="154"/>
      <c r="S35" s="154"/>
      <c r="T35" s="154"/>
      <c r="U35" s="646"/>
    </row>
    <row r="36" spans="1:21" ht="65.25">
      <c r="A36" s="1411"/>
      <c r="B36" s="1411"/>
      <c r="C36" s="1454"/>
      <c r="D36" s="155"/>
      <c r="E36" s="649" t="s">
        <v>1381</v>
      </c>
      <c r="F36" s="650">
        <v>11520</v>
      </c>
      <c r="G36" s="155"/>
      <c r="H36" s="568"/>
      <c r="I36" s="155"/>
      <c r="J36" s="155"/>
      <c r="K36" s="155"/>
      <c r="L36" s="155"/>
      <c r="M36" s="568">
        <v>11520</v>
      </c>
      <c r="N36" s="155"/>
      <c r="O36" s="155"/>
      <c r="P36" s="155"/>
      <c r="Q36" s="155"/>
      <c r="R36" s="155"/>
      <c r="S36" s="155"/>
      <c r="T36" s="155"/>
      <c r="U36" s="651"/>
    </row>
    <row r="37" spans="1:21" ht="43.5">
      <c r="A37" s="1411"/>
      <c r="B37" s="1411"/>
      <c r="C37" s="1454"/>
      <c r="D37" s="155"/>
      <c r="E37" s="677" t="s">
        <v>1382</v>
      </c>
      <c r="F37" s="652">
        <v>28000</v>
      </c>
      <c r="G37" s="155"/>
      <c r="H37" s="568"/>
      <c r="I37" s="155"/>
      <c r="J37" s="155"/>
      <c r="K37" s="155"/>
      <c r="L37" s="155"/>
      <c r="M37" s="568">
        <v>28000</v>
      </c>
      <c r="N37" s="155"/>
      <c r="O37" s="155"/>
      <c r="P37" s="155"/>
      <c r="Q37" s="155"/>
      <c r="R37" s="155"/>
      <c r="S37" s="155"/>
      <c r="T37" s="155"/>
      <c r="U37" s="651"/>
    </row>
    <row r="38" spans="1:21" ht="21.75">
      <c r="A38" s="653"/>
      <c r="B38" s="653"/>
      <c r="C38" s="654"/>
      <c r="D38" s="302"/>
      <c r="E38" s="654" t="s">
        <v>4</v>
      </c>
      <c r="F38" s="655">
        <f>F35+F36+F37</f>
        <v>64520</v>
      </c>
      <c r="G38" s="302"/>
      <c r="H38" s="656">
        <v>22313</v>
      </c>
      <c r="I38" s="302"/>
      <c r="J38" s="302"/>
      <c r="K38" s="302"/>
      <c r="L38" s="302"/>
      <c r="M38" s="657">
        <v>64520</v>
      </c>
      <c r="N38" s="302"/>
      <c r="O38" s="302"/>
      <c r="P38" s="302"/>
      <c r="Q38" s="302"/>
      <c r="R38" s="302"/>
      <c r="S38" s="302"/>
      <c r="T38" s="302"/>
      <c r="U38" s="654" t="s">
        <v>282</v>
      </c>
    </row>
    <row r="39" spans="1:21" ht="21.75">
      <c r="A39" s="1884" t="s">
        <v>1384</v>
      </c>
      <c r="B39" s="1885"/>
      <c r="C39" s="1885"/>
      <c r="D39" s="1885"/>
      <c r="E39" s="1885"/>
      <c r="F39" s="1885"/>
      <c r="G39" s="1885"/>
      <c r="H39" s="1885"/>
      <c r="I39" s="1885"/>
      <c r="J39" s="1885"/>
      <c r="K39" s="1885"/>
      <c r="L39" s="1885"/>
      <c r="M39" s="1885"/>
      <c r="N39" s="1885"/>
      <c r="O39" s="1885"/>
      <c r="P39" s="1885"/>
      <c r="Q39" s="1885"/>
      <c r="R39" s="1885"/>
      <c r="S39" s="1885"/>
      <c r="T39" s="1885"/>
      <c r="U39" s="1886"/>
    </row>
    <row r="40" spans="1:21" ht="65.25">
      <c r="A40" s="1398" t="s">
        <v>1385</v>
      </c>
      <c r="B40" s="1398" t="s">
        <v>1386</v>
      </c>
      <c r="C40" s="1453" t="s">
        <v>1387</v>
      </c>
      <c r="D40" s="658" t="s">
        <v>637</v>
      </c>
      <c r="E40" s="659" t="s">
        <v>1388</v>
      </c>
      <c r="F40" s="647">
        <v>8400</v>
      </c>
      <c r="G40" s="154"/>
      <c r="H40" s="648"/>
      <c r="I40" s="154"/>
      <c r="J40" s="154"/>
      <c r="K40" s="154"/>
      <c r="L40" s="154"/>
      <c r="M40" s="648"/>
      <c r="N40" s="154"/>
      <c r="O40" s="154"/>
      <c r="P40" s="154"/>
      <c r="Q40" s="154"/>
      <c r="R40" s="154"/>
      <c r="S40" s="154">
        <v>8400</v>
      </c>
      <c r="T40" s="154"/>
      <c r="U40" s="646" t="s">
        <v>282</v>
      </c>
    </row>
    <row r="41" spans="1:21" ht="43.5">
      <c r="A41" s="1411"/>
      <c r="B41" s="1411"/>
      <c r="C41" s="1454"/>
      <c r="D41" s="155"/>
      <c r="E41" s="660" t="s">
        <v>1389</v>
      </c>
      <c r="F41" s="652">
        <v>4320</v>
      </c>
      <c r="G41" s="155"/>
      <c r="H41" s="568"/>
      <c r="I41" s="155"/>
      <c r="J41" s="155"/>
      <c r="K41" s="155"/>
      <c r="L41" s="155"/>
      <c r="M41" s="568"/>
      <c r="N41" s="155"/>
      <c r="O41" s="155"/>
      <c r="P41" s="155"/>
      <c r="Q41" s="155"/>
      <c r="R41" s="155"/>
      <c r="S41" s="155">
        <v>4320</v>
      </c>
      <c r="T41" s="155"/>
      <c r="U41" s="651"/>
    </row>
    <row r="42" spans="1:21" ht="21.75">
      <c r="A42" s="1411"/>
      <c r="B42" s="1411"/>
      <c r="C42" s="1454"/>
      <c r="D42" s="155"/>
      <c r="E42" s="660"/>
      <c r="F42" s="652"/>
      <c r="G42" s="155"/>
      <c r="H42" s="568"/>
      <c r="I42" s="155"/>
      <c r="J42" s="155"/>
      <c r="K42" s="155"/>
      <c r="L42" s="155"/>
      <c r="M42" s="568"/>
      <c r="N42" s="155"/>
      <c r="O42" s="155"/>
      <c r="P42" s="155"/>
      <c r="Q42" s="155"/>
      <c r="R42" s="155"/>
      <c r="S42" s="155"/>
      <c r="T42" s="155"/>
      <c r="U42" s="651"/>
    </row>
    <row r="43" spans="1:21" ht="21.75">
      <c r="A43" s="1398" t="s">
        <v>1390</v>
      </c>
      <c r="B43" s="1398" t="s">
        <v>1391</v>
      </c>
      <c r="C43" s="157" t="s">
        <v>1392</v>
      </c>
      <c r="D43" s="157" t="s">
        <v>1393</v>
      </c>
      <c r="E43" s="1398" t="s">
        <v>1394</v>
      </c>
      <c r="F43" s="661">
        <v>7000</v>
      </c>
      <c r="G43" s="662"/>
      <c r="H43" s="663"/>
      <c r="I43" s="301"/>
      <c r="J43" s="301"/>
      <c r="K43" s="301"/>
      <c r="L43" s="301"/>
      <c r="M43" s="664"/>
      <c r="N43" s="301"/>
      <c r="O43" s="301"/>
      <c r="P43" s="301"/>
      <c r="Q43" s="301"/>
      <c r="R43" s="301"/>
      <c r="S43" s="154">
        <v>7000</v>
      </c>
      <c r="T43" s="154"/>
      <c r="U43" s="665" t="s">
        <v>282</v>
      </c>
    </row>
    <row r="44" spans="1:21" ht="21.75">
      <c r="A44" s="1411"/>
      <c r="B44" s="1411"/>
      <c r="C44" s="1411" t="s">
        <v>1387</v>
      </c>
      <c r="D44" s="158"/>
      <c r="E44" s="1411"/>
      <c r="F44" s="666"/>
      <c r="G44" s="665"/>
      <c r="H44" s="663"/>
      <c r="I44" s="666"/>
      <c r="J44" s="666"/>
      <c r="K44" s="666"/>
      <c r="L44" s="666"/>
      <c r="M44" s="667"/>
      <c r="N44" s="666"/>
      <c r="O44" s="666"/>
      <c r="P44" s="666"/>
      <c r="Q44" s="666"/>
      <c r="R44" s="666"/>
      <c r="S44" s="666"/>
      <c r="T44" s="666"/>
      <c r="U44" s="668"/>
    </row>
    <row r="45" spans="1:21" ht="21.75">
      <c r="A45" s="1411"/>
      <c r="B45" s="1411"/>
      <c r="C45" s="1411"/>
      <c r="D45" s="158"/>
      <c r="E45" s="1411" t="s">
        <v>1395</v>
      </c>
      <c r="F45" s="669">
        <v>6000</v>
      </c>
      <c r="G45" s="670"/>
      <c r="H45" s="671"/>
      <c r="I45" s="672"/>
      <c r="J45" s="672"/>
      <c r="K45" s="672"/>
      <c r="L45" s="672"/>
      <c r="M45" s="673"/>
      <c r="N45" s="672"/>
      <c r="O45" s="672"/>
      <c r="P45" s="672"/>
      <c r="Q45" s="672"/>
      <c r="R45" s="672"/>
      <c r="S45" s="672"/>
      <c r="T45" s="672"/>
      <c r="U45" s="674"/>
    </row>
    <row r="46" spans="1:21" ht="21.75">
      <c r="A46" s="1411"/>
      <c r="B46" s="1411"/>
      <c r="C46" s="1411"/>
      <c r="D46" s="158"/>
      <c r="E46" s="1411"/>
      <c r="F46" s="672"/>
      <c r="G46" s="670"/>
      <c r="H46" s="671"/>
      <c r="I46" s="672"/>
      <c r="J46" s="672"/>
      <c r="K46" s="672"/>
      <c r="L46" s="672"/>
      <c r="M46" s="673"/>
      <c r="N46" s="672"/>
      <c r="O46" s="672"/>
      <c r="P46" s="672"/>
      <c r="Q46" s="672"/>
      <c r="R46" s="672"/>
      <c r="S46" s="672"/>
      <c r="T46" s="672"/>
      <c r="U46" s="674"/>
    </row>
    <row r="47" spans="1:21" ht="31.5">
      <c r="A47" s="653"/>
      <c r="B47" s="653"/>
      <c r="C47" s="654"/>
      <c r="D47" s="302"/>
      <c r="E47" s="675" t="s">
        <v>4</v>
      </c>
      <c r="F47" s="655">
        <f>F40+F41+F43+F45</f>
        <v>25720</v>
      </c>
      <c r="G47" s="302"/>
      <c r="H47" s="657" t="s">
        <v>1396</v>
      </c>
      <c r="I47" s="302"/>
      <c r="J47" s="302"/>
      <c r="K47" s="302"/>
      <c r="L47" s="302"/>
      <c r="M47" s="657"/>
      <c r="N47" s="302"/>
      <c r="O47" s="302"/>
      <c r="P47" s="302"/>
      <c r="Q47" s="302"/>
      <c r="R47" s="302"/>
      <c r="S47" s="676">
        <v>25720</v>
      </c>
      <c r="T47" s="302"/>
      <c r="U47" s="654" t="s">
        <v>282</v>
      </c>
    </row>
    <row r="48" spans="1:21" ht="21.75">
      <c r="A48" s="1878" t="s">
        <v>1397</v>
      </c>
      <c r="B48" s="1879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79"/>
      <c r="O48" s="1879"/>
      <c r="P48" s="1879"/>
      <c r="Q48" s="1879"/>
      <c r="R48" s="1879"/>
      <c r="S48" s="1879"/>
      <c r="T48" s="1879"/>
      <c r="U48" s="1880"/>
    </row>
    <row r="49" spans="1:21" ht="65.25">
      <c r="A49" s="1398" t="s">
        <v>1398</v>
      </c>
      <c r="B49" s="1398" t="s">
        <v>1399</v>
      </c>
      <c r="C49" s="677" t="s">
        <v>1387</v>
      </c>
      <c r="D49" s="678" t="s">
        <v>1400</v>
      </c>
      <c r="E49" s="677" t="s">
        <v>1401</v>
      </c>
      <c r="F49" s="590">
        <v>9600</v>
      </c>
      <c r="G49" s="155"/>
      <c r="H49" s="568"/>
      <c r="I49" s="154"/>
      <c r="J49" s="154"/>
      <c r="K49" s="154">
        <v>3200</v>
      </c>
      <c r="L49" s="154"/>
      <c r="M49" s="154"/>
      <c r="N49" s="154"/>
      <c r="O49" s="154">
        <v>3200</v>
      </c>
      <c r="P49" s="154"/>
      <c r="Q49" s="154"/>
      <c r="R49" s="154"/>
      <c r="S49" s="154"/>
      <c r="T49" s="154">
        <v>3200</v>
      </c>
      <c r="U49" s="651"/>
    </row>
    <row r="50" spans="1:21" ht="87">
      <c r="A50" s="1411"/>
      <c r="B50" s="1411"/>
      <c r="C50" s="677"/>
      <c r="D50" s="678"/>
      <c r="E50" s="649" t="s">
        <v>1402</v>
      </c>
      <c r="F50" s="573">
        <v>4800</v>
      </c>
      <c r="G50" s="155"/>
      <c r="H50" s="568"/>
      <c r="I50" s="155"/>
      <c r="J50" s="155"/>
      <c r="K50" s="155"/>
      <c r="L50" s="155"/>
      <c r="M50" s="568"/>
      <c r="N50" s="155"/>
      <c r="O50" s="155"/>
      <c r="P50" s="155"/>
      <c r="Q50" s="155"/>
      <c r="R50" s="155"/>
      <c r="S50" s="155"/>
      <c r="T50" s="155"/>
      <c r="U50" s="651"/>
    </row>
    <row r="51" spans="1:21" ht="25.5" customHeight="1">
      <c r="A51" s="653"/>
      <c r="B51" s="653"/>
      <c r="C51" s="654"/>
      <c r="D51" s="302"/>
      <c r="E51" s="654" t="s">
        <v>702</v>
      </c>
      <c r="F51" s="655">
        <f>SUM(F49:F50)</f>
        <v>14400</v>
      </c>
      <c r="G51" s="302"/>
      <c r="H51" s="657" t="s">
        <v>1403</v>
      </c>
      <c r="I51" s="302"/>
      <c r="J51" s="302"/>
      <c r="K51" s="302">
        <v>3200</v>
      </c>
      <c r="L51" s="302"/>
      <c r="M51" s="657"/>
      <c r="N51" s="302"/>
      <c r="O51" s="302">
        <v>3200</v>
      </c>
      <c r="P51" s="302"/>
      <c r="Q51" s="302"/>
      <c r="R51" s="302"/>
      <c r="S51" s="302"/>
      <c r="T51" s="302">
        <v>3200</v>
      </c>
      <c r="U51" s="654" t="s">
        <v>282</v>
      </c>
    </row>
    <row r="52" spans="1:21" ht="21.75">
      <c r="A52" s="1881" t="s">
        <v>1404</v>
      </c>
      <c r="B52" s="1882"/>
      <c r="C52" s="1882"/>
      <c r="D52" s="1882"/>
      <c r="E52" s="1882"/>
      <c r="F52" s="1882"/>
      <c r="G52" s="1882"/>
      <c r="H52" s="1882"/>
      <c r="I52" s="1882"/>
      <c r="J52" s="1882"/>
      <c r="K52" s="1882"/>
      <c r="L52" s="1882"/>
      <c r="M52" s="1882"/>
      <c r="N52" s="1882"/>
      <c r="O52" s="1882"/>
      <c r="P52" s="1882"/>
      <c r="Q52" s="1882"/>
      <c r="R52" s="1882"/>
      <c r="S52" s="1882"/>
      <c r="T52" s="1882"/>
      <c r="U52" s="1883"/>
    </row>
    <row r="53" spans="1:21" ht="152.25">
      <c r="A53" s="1398" t="s">
        <v>1405</v>
      </c>
      <c r="B53" s="244" t="s">
        <v>1406</v>
      </c>
      <c r="C53" s="1453" t="s">
        <v>1407</v>
      </c>
      <c r="D53" s="679" t="s">
        <v>1392</v>
      </c>
      <c r="E53" s="680"/>
      <c r="F53" s="681"/>
      <c r="G53" s="658"/>
      <c r="H53" s="648"/>
      <c r="I53" s="154"/>
      <c r="J53" s="154"/>
      <c r="K53" s="154"/>
      <c r="L53" s="154"/>
      <c r="M53" s="648"/>
      <c r="N53" s="154"/>
      <c r="O53" s="154"/>
      <c r="P53" s="154"/>
      <c r="Q53" s="154"/>
      <c r="R53" s="154"/>
      <c r="S53" s="154"/>
      <c r="T53" s="154"/>
      <c r="U53" s="646"/>
    </row>
    <row r="54" spans="1:21" ht="43.5">
      <c r="A54" s="1411"/>
      <c r="B54" s="250" t="s">
        <v>1408</v>
      </c>
      <c r="C54" s="1454"/>
      <c r="D54" s="155"/>
      <c r="E54" s="649" t="s">
        <v>1409</v>
      </c>
      <c r="F54" s="590">
        <v>1000</v>
      </c>
      <c r="G54" s="155"/>
      <c r="H54" s="568"/>
      <c r="I54" s="155"/>
      <c r="J54" s="155"/>
      <c r="K54" s="682">
        <v>1000</v>
      </c>
      <c r="L54" s="155"/>
      <c r="M54" s="568"/>
      <c r="N54" s="155"/>
      <c r="O54" s="155"/>
      <c r="P54" s="155"/>
      <c r="Q54" s="155"/>
      <c r="R54" s="155"/>
      <c r="S54" s="155"/>
      <c r="T54" s="155"/>
      <c r="U54" s="651"/>
    </row>
    <row r="55" spans="1:21" ht="65.25">
      <c r="A55" s="1411"/>
      <c r="B55" s="250" t="s">
        <v>1410</v>
      </c>
      <c r="C55" s="1454"/>
      <c r="D55" s="155"/>
      <c r="E55" s="649" t="s">
        <v>1411</v>
      </c>
      <c r="F55" s="590">
        <v>3600</v>
      </c>
      <c r="G55" s="155"/>
      <c r="H55" s="568"/>
      <c r="I55" s="155"/>
      <c r="J55" s="155"/>
      <c r="K55" s="682">
        <v>3600</v>
      </c>
      <c r="L55" s="155"/>
      <c r="M55" s="568"/>
      <c r="N55" s="155"/>
      <c r="O55" s="155"/>
      <c r="P55" s="155"/>
      <c r="Q55" s="155"/>
      <c r="R55" s="155"/>
      <c r="S55" s="155"/>
      <c r="T55" s="155"/>
      <c r="U55" s="651"/>
    </row>
    <row r="56" spans="1:21" ht="65.25">
      <c r="A56" s="1411"/>
      <c r="B56" s="250" t="s">
        <v>1412</v>
      </c>
      <c r="C56" s="1454"/>
      <c r="D56" s="155"/>
      <c r="E56" s="651"/>
      <c r="F56" s="652"/>
      <c r="G56" s="155"/>
      <c r="H56" s="568"/>
      <c r="I56" s="155"/>
      <c r="J56" s="155"/>
      <c r="K56" s="155"/>
      <c r="L56" s="155"/>
      <c r="M56" s="568"/>
      <c r="N56" s="155"/>
      <c r="O56" s="155"/>
      <c r="P56" s="155"/>
      <c r="Q56" s="155"/>
      <c r="R56" s="155"/>
      <c r="S56" s="155"/>
      <c r="T56" s="155"/>
      <c r="U56" s="651"/>
    </row>
    <row r="57" spans="1:21" ht="87">
      <c r="A57" s="158"/>
      <c r="B57" s="250" t="s">
        <v>1413</v>
      </c>
      <c r="C57" s="1454"/>
      <c r="D57" s="155"/>
      <c r="E57" s="651"/>
      <c r="F57" s="652"/>
      <c r="G57" s="155"/>
      <c r="H57" s="568"/>
      <c r="I57" s="155"/>
      <c r="J57" s="155"/>
      <c r="K57" s="155"/>
      <c r="L57" s="155"/>
      <c r="M57" s="568"/>
      <c r="N57" s="155"/>
      <c r="O57" s="155"/>
      <c r="P57" s="155"/>
      <c r="Q57" s="155"/>
      <c r="R57" s="155"/>
      <c r="S57" s="155"/>
      <c r="T57" s="155"/>
      <c r="U57" s="651"/>
    </row>
    <row r="58" spans="1:21" ht="27.75" customHeight="1">
      <c r="A58" s="683"/>
      <c r="B58" s="684"/>
      <c r="C58" s="685"/>
      <c r="D58" s="686"/>
      <c r="E58" s="675" t="s">
        <v>4</v>
      </c>
      <c r="F58" s="687">
        <f>SUM(F53:F57)</f>
        <v>4600</v>
      </c>
      <c r="G58" s="686" t="s">
        <v>1383</v>
      </c>
      <c r="H58" s="688" t="s">
        <v>1414</v>
      </c>
      <c r="I58" s="686"/>
      <c r="J58" s="686"/>
      <c r="K58" s="686">
        <v>4600</v>
      </c>
      <c r="L58" s="686"/>
      <c r="M58" s="688"/>
      <c r="N58" s="686"/>
      <c r="O58" s="686"/>
      <c r="P58" s="686"/>
      <c r="Q58" s="686"/>
      <c r="R58" s="686"/>
      <c r="S58" s="686"/>
      <c r="T58" s="686"/>
      <c r="U58" s="685" t="s">
        <v>282</v>
      </c>
    </row>
    <row r="59" spans="1:21" ht="87">
      <c r="A59" s="1398" t="s">
        <v>1415</v>
      </c>
      <c r="B59" s="250" t="s">
        <v>1416</v>
      </c>
      <c r="C59" s="660" t="s">
        <v>1417</v>
      </c>
      <c r="D59" s="678" t="s">
        <v>1392</v>
      </c>
      <c r="E59" s="689" t="s">
        <v>201</v>
      </c>
      <c r="F59" s="652"/>
      <c r="G59" s="155"/>
      <c r="H59" s="568"/>
      <c r="I59" s="155"/>
      <c r="J59" s="155"/>
      <c r="K59" s="155"/>
      <c r="L59" s="155"/>
      <c r="M59" s="154"/>
      <c r="N59" s="154"/>
      <c r="O59" s="154"/>
      <c r="P59" s="154"/>
      <c r="Q59" s="155"/>
      <c r="R59" s="155"/>
      <c r="S59" s="155"/>
      <c r="T59" s="155"/>
      <c r="U59" s="651"/>
    </row>
    <row r="60" spans="1:21" ht="87">
      <c r="A60" s="1411"/>
      <c r="B60" s="250" t="s">
        <v>1418</v>
      </c>
      <c r="C60" s="651"/>
      <c r="D60" s="155"/>
      <c r="E60" s="651"/>
      <c r="F60" s="652"/>
      <c r="G60" s="155"/>
      <c r="H60" s="568"/>
      <c r="I60" s="155"/>
      <c r="J60" s="155"/>
      <c r="K60" s="155"/>
      <c r="L60" s="155"/>
      <c r="M60" s="568"/>
      <c r="N60" s="155"/>
      <c r="O60" s="155"/>
      <c r="P60" s="155"/>
      <c r="Q60" s="155"/>
      <c r="R60" s="155"/>
      <c r="S60" s="155"/>
      <c r="T60" s="155"/>
      <c r="U60" s="651"/>
    </row>
    <row r="61" spans="1:21" ht="21.75">
      <c r="A61" s="690"/>
      <c r="B61" s="691"/>
      <c r="C61" s="692"/>
      <c r="D61" s="693"/>
      <c r="E61" s="694" t="s">
        <v>4</v>
      </c>
      <c r="F61" s="695">
        <f>F13+F17+F21+F27+F30+F38+F47+F51+F58</f>
        <v>363140</v>
      </c>
      <c r="G61" s="693"/>
      <c r="H61" s="696" t="s">
        <v>1419</v>
      </c>
      <c r="I61" s="693"/>
      <c r="J61" s="693"/>
      <c r="K61" s="693"/>
      <c r="L61" s="693"/>
      <c r="M61" s="696"/>
      <c r="N61" s="693"/>
      <c r="O61" s="693"/>
      <c r="P61" s="693"/>
      <c r="Q61" s="693"/>
      <c r="R61" s="693"/>
      <c r="S61" s="693"/>
      <c r="T61" s="693"/>
      <c r="U61" s="692" t="s">
        <v>282</v>
      </c>
    </row>
    <row r="63" ht="21.75">
      <c r="F63" s="231"/>
    </row>
  </sheetData>
  <sheetProtection/>
  <mergeCells count="109">
    <mergeCell ref="I4:T4"/>
    <mergeCell ref="U4:U6"/>
    <mergeCell ref="E5:E6"/>
    <mergeCell ref="S5:S6"/>
    <mergeCell ref="T5:T6"/>
    <mergeCell ref="P8:P12"/>
    <mergeCell ref="Q8:Q12"/>
    <mergeCell ref="R8:R12"/>
    <mergeCell ref="S8:S12"/>
    <mergeCell ref="P5:P6"/>
    <mergeCell ref="A4:A6"/>
    <mergeCell ref="B4:B6"/>
    <mergeCell ref="C4:C6"/>
    <mergeCell ref="D4:D6"/>
    <mergeCell ref="E4:G4"/>
    <mergeCell ref="H4:H6"/>
    <mergeCell ref="Q5:Q6"/>
    <mergeCell ref="R5:R6"/>
    <mergeCell ref="F5:F6"/>
    <mergeCell ref="G5:G6"/>
    <mergeCell ref="I5:I6"/>
    <mergeCell ref="J5:J6"/>
    <mergeCell ref="K5:K6"/>
    <mergeCell ref="L5:L6"/>
    <mergeCell ref="G8:G12"/>
    <mergeCell ref="H8:H12"/>
    <mergeCell ref="I8:I12"/>
    <mergeCell ref="M5:M6"/>
    <mergeCell ref="N5:N6"/>
    <mergeCell ref="O5:O6"/>
    <mergeCell ref="N8:N12"/>
    <mergeCell ref="O8:O12"/>
    <mergeCell ref="L8:L12"/>
    <mergeCell ref="M8:M12"/>
    <mergeCell ref="R14:R16"/>
    <mergeCell ref="S14:S16"/>
    <mergeCell ref="T14:T16"/>
    <mergeCell ref="A7:U7"/>
    <mergeCell ref="A8:A12"/>
    <mergeCell ref="B8:B12"/>
    <mergeCell ref="C8:C12"/>
    <mergeCell ref="D8:D12"/>
    <mergeCell ref="T8:T12"/>
    <mergeCell ref="G14:G16"/>
    <mergeCell ref="H14:H16"/>
    <mergeCell ref="I14:I16"/>
    <mergeCell ref="J14:J16"/>
    <mergeCell ref="K14:K16"/>
    <mergeCell ref="J8:J12"/>
    <mergeCell ref="K8:K12"/>
    <mergeCell ref="U19:U20"/>
    <mergeCell ref="O19:O20"/>
    <mergeCell ref="P19:P20"/>
    <mergeCell ref="Q19:Q20"/>
    <mergeCell ref="R19:R20"/>
    <mergeCell ref="S19:S20"/>
    <mergeCell ref="T19:T20"/>
    <mergeCell ref="L14:L16"/>
    <mergeCell ref="M14:M16"/>
    <mergeCell ref="N14:N16"/>
    <mergeCell ref="O14:O16"/>
    <mergeCell ref="P14:P16"/>
    <mergeCell ref="Q14:Q16"/>
    <mergeCell ref="K23:K25"/>
    <mergeCell ref="L23:L25"/>
    <mergeCell ref="N23:N25"/>
    <mergeCell ref="U14:U16"/>
    <mergeCell ref="I19:I20"/>
    <mergeCell ref="J19:J20"/>
    <mergeCell ref="K19:K20"/>
    <mergeCell ref="L19:L20"/>
    <mergeCell ref="M19:M20"/>
    <mergeCell ref="N19:N20"/>
    <mergeCell ref="A23:A25"/>
    <mergeCell ref="B23:B25"/>
    <mergeCell ref="C23:C25"/>
    <mergeCell ref="D23:D25"/>
    <mergeCell ref="I23:I25"/>
    <mergeCell ref="J23:J25"/>
    <mergeCell ref="O23:O25"/>
    <mergeCell ref="P23:P25"/>
    <mergeCell ref="Q23:Q25"/>
    <mergeCell ref="S23:S25"/>
    <mergeCell ref="T23:T25"/>
    <mergeCell ref="U23:U25"/>
    <mergeCell ref="A31:B31"/>
    <mergeCell ref="A32:D32"/>
    <mergeCell ref="A34:U34"/>
    <mergeCell ref="A35:A37"/>
    <mergeCell ref="B35:B37"/>
    <mergeCell ref="C35:C37"/>
    <mergeCell ref="A40:A42"/>
    <mergeCell ref="B40:B42"/>
    <mergeCell ref="C40:C42"/>
    <mergeCell ref="A43:A46"/>
    <mergeCell ref="B43:B46"/>
    <mergeCell ref="E43:E44"/>
    <mergeCell ref="C44:C46"/>
    <mergeCell ref="E45:E46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</mergeCells>
  <printOptions/>
  <pageMargins left="0.25" right="0.25" top="0.75" bottom="0.75" header="0.3" footer="0.3"/>
  <pageSetup fitToHeight="0" fitToWidth="1" horizontalDpi="600" verticalDpi="600" orientation="landscape" paperSize="9" scale="68" r:id="rId1"/>
  <rowBreaks count="2" manualBreakCount="2">
    <brk id="27" max="20" man="1"/>
    <brk id="51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SheetLayoutView="100" zoomScalePageLayoutView="0" workbookViewId="0" topLeftCell="A1">
      <selection activeCell="H2" sqref="H1:U16384"/>
    </sheetView>
  </sheetViews>
  <sheetFormatPr defaultColWidth="9.00390625" defaultRowHeight="15"/>
  <cols>
    <col min="1" max="5" width="22.57421875" style="74" customWidth="1"/>
    <col min="6" max="6" width="8.140625" style="74" customWidth="1"/>
    <col min="7" max="7" width="7.57421875" style="74" customWidth="1"/>
    <col min="8" max="8" width="9.57421875" style="74" customWidth="1"/>
    <col min="9" max="20" width="4.00390625" style="74" customWidth="1"/>
    <col min="21" max="21" width="7.00390625" style="74" customWidth="1"/>
    <col min="22" max="16384" width="9.00390625" style="74" customWidth="1"/>
  </cols>
  <sheetData>
    <row r="1" spans="1:21" ht="21.75">
      <c r="A1" s="1662" t="s">
        <v>41</v>
      </c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1662"/>
      <c r="T1" s="1662"/>
      <c r="U1" s="1662"/>
    </row>
    <row r="2" spans="1:5" ht="21.75">
      <c r="A2" s="1250" t="s">
        <v>142</v>
      </c>
      <c r="B2" s="1250"/>
      <c r="C2" s="1250"/>
      <c r="D2" s="1250"/>
      <c r="E2" s="346"/>
    </row>
    <row r="3" spans="1:21" ht="21.75">
      <c r="A3" s="1299" t="s">
        <v>44</v>
      </c>
      <c r="B3" s="1299" t="s">
        <v>45</v>
      </c>
      <c r="C3" s="1299" t="s">
        <v>46</v>
      </c>
      <c r="D3" s="1299" t="s">
        <v>47</v>
      </c>
      <c r="E3" s="1299" t="s">
        <v>48</v>
      </c>
      <c r="F3" s="1299"/>
      <c r="G3" s="1299"/>
      <c r="H3" s="1299" t="s">
        <v>49</v>
      </c>
      <c r="I3" s="1299" t="s">
        <v>50</v>
      </c>
      <c r="J3" s="1299"/>
      <c r="K3" s="1299"/>
      <c r="L3" s="1299"/>
      <c r="M3" s="1299"/>
      <c r="N3" s="1299"/>
      <c r="O3" s="1299"/>
      <c r="P3" s="1299"/>
      <c r="Q3" s="1299"/>
      <c r="R3" s="1299"/>
      <c r="S3" s="1299"/>
      <c r="T3" s="1299"/>
      <c r="U3" s="1299" t="s">
        <v>51</v>
      </c>
    </row>
    <row r="4" spans="1:21" ht="14.25" customHeight="1">
      <c r="A4" s="1299"/>
      <c r="B4" s="1299"/>
      <c r="C4" s="1299"/>
      <c r="D4" s="1299"/>
      <c r="E4" s="1299" t="s">
        <v>52</v>
      </c>
      <c r="F4" s="1311" t="s">
        <v>53</v>
      </c>
      <c r="G4" s="1311" t="s">
        <v>54</v>
      </c>
      <c r="H4" s="1299"/>
      <c r="I4" s="1299" t="s">
        <v>55</v>
      </c>
      <c r="J4" s="1299" t="s">
        <v>56</v>
      </c>
      <c r="K4" s="1299" t="s">
        <v>57</v>
      </c>
      <c r="L4" s="1299" t="s">
        <v>58</v>
      </c>
      <c r="M4" s="1299" t="s">
        <v>59</v>
      </c>
      <c r="N4" s="1299" t="s">
        <v>60</v>
      </c>
      <c r="O4" s="1299" t="s">
        <v>61</v>
      </c>
      <c r="P4" s="1299" t="s">
        <v>62</v>
      </c>
      <c r="Q4" s="1299" t="s">
        <v>63</v>
      </c>
      <c r="R4" s="1299" t="s">
        <v>64</v>
      </c>
      <c r="S4" s="1299" t="s">
        <v>65</v>
      </c>
      <c r="T4" s="1299" t="s">
        <v>66</v>
      </c>
      <c r="U4" s="1299"/>
    </row>
    <row r="5" spans="1:21" ht="21.75" customHeight="1">
      <c r="A5" s="1299"/>
      <c r="B5" s="1299"/>
      <c r="C5" s="1299"/>
      <c r="D5" s="1299"/>
      <c r="E5" s="1299"/>
      <c r="F5" s="1311"/>
      <c r="G5" s="1311"/>
      <c r="H5" s="1299"/>
      <c r="I5" s="1299"/>
      <c r="J5" s="1299"/>
      <c r="K5" s="1299"/>
      <c r="L5" s="1299"/>
      <c r="M5" s="1299"/>
      <c r="N5" s="1299"/>
      <c r="O5" s="1299"/>
      <c r="P5" s="1299"/>
      <c r="Q5" s="1299"/>
      <c r="R5" s="1299"/>
      <c r="S5" s="1299"/>
      <c r="T5" s="1299"/>
      <c r="U5" s="1299"/>
    </row>
    <row r="6" spans="1:21" s="29" customFormat="1" ht="75">
      <c r="A6" s="1292" t="s">
        <v>143</v>
      </c>
      <c r="B6" s="1292" t="s">
        <v>144</v>
      </c>
      <c r="C6" s="1292" t="s">
        <v>145</v>
      </c>
      <c r="D6" s="1292" t="s">
        <v>146</v>
      </c>
      <c r="E6" s="697" t="s">
        <v>147</v>
      </c>
      <c r="F6" s="698">
        <f>21*120*19</f>
        <v>47880</v>
      </c>
      <c r="G6" s="314" t="s">
        <v>77</v>
      </c>
      <c r="H6" s="310" t="s">
        <v>148</v>
      </c>
      <c r="I6" s="289"/>
      <c r="J6" s="289"/>
      <c r="K6" s="289"/>
      <c r="L6" s="289"/>
      <c r="M6" s="289"/>
      <c r="N6" s="315">
        <v>35280</v>
      </c>
      <c r="O6" s="289"/>
      <c r="P6" s="289"/>
      <c r="Q6" s="315">
        <f>+F6-N6</f>
        <v>12600</v>
      </c>
      <c r="R6" s="289"/>
      <c r="S6" s="289"/>
      <c r="T6" s="289"/>
      <c r="U6" s="1276" t="s">
        <v>142</v>
      </c>
    </row>
    <row r="7" spans="1:21" s="29" customFormat="1" ht="69.75" customHeight="1">
      <c r="A7" s="1292"/>
      <c r="B7" s="1292"/>
      <c r="C7" s="1292"/>
      <c r="D7" s="1292"/>
      <c r="E7" s="697" t="s">
        <v>149</v>
      </c>
      <c r="F7" s="698">
        <f>120*19</f>
        <v>2280</v>
      </c>
      <c r="G7" s="314" t="s">
        <v>77</v>
      </c>
      <c r="H7" s="310" t="s">
        <v>148</v>
      </c>
      <c r="I7" s="289"/>
      <c r="J7" s="289"/>
      <c r="K7" s="289"/>
      <c r="L7" s="289"/>
      <c r="M7" s="289"/>
      <c r="N7" s="315">
        <v>1680</v>
      </c>
      <c r="O7" s="289"/>
      <c r="P7" s="289"/>
      <c r="Q7" s="315">
        <f>+F7-N7</f>
        <v>600</v>
      </c>
      <c r="R7" s="289"/>
      <c r="S7" s="289"/>
      <c r="T7" s="289"/>
      <c r="U7" s="1277"/>
    </row>
    <row r="8" spans="1:21" s="29" customFormat="1" ht="57.75">
      <c r="A8" s="392"/>
      <c r="B8" s="392"/>
      <c r="C8" s="392"/>
      <c r="D8" s="392"/>
      <c r="E8" s="327" t="s">
        <v>4</v>
      </c>
      <c r="F8" s="516">
        <f>SUM(F6:F7)</f>
        <v>50160</v>
      </c>
      <c r="G8" s="308"/>
      <c r="H8" s="304"/>
      <c r="I8" s="282">
        <f>+I7</f>
        <v>0</v>
      </c>
      <c r="J8" s="282">
        <f aca="true" t="shared" si="0" ref="J8:T9">+J7</f>
        <v>0</v>
      </c>
      <c r="K8" s="282">
        <f t="shared" si="0"/>
        <v>0</v>
      </c>
      <c r="L8" s="282">
        <f t="shared" si="0"/>
        <v>0</v>
      </c>
      <c r="M8" s="282">
        <f t="shared" si="0"/>
        <v>0</v>
      </c>
      <c r="N8" s="282">
        <f t="shared" si="0"/>
        <v>1680</v>
      </c>
      <c r="O8" s="282">
        <f t="shared" si="0"/>
        <v>0</v>
      </c>
      <c r="P8" s="282">
        <f t="shared" si="0"/>
        <v>0</v>
      </c>
      <c r="Q8" s="282">
        <f t="shared" si="0"/>
        <v>600</v>
      </c>
      <c r="R8" s="282">
        <f t="shared" si="0"/>
        <v>0</v>
      </c>
      <c r="S8" s="282">
        <f t="shared" si="0"/>
        <v>0</v>
      </c>
      <c r="T8" s="282">
        <f t="shared" si="0"/>
        <v>0</v>
      </c>
      <c r="U8" s="309"/>
    </row>
    <row r="9" spans="5:21" s="29" customFormat="1" ht="57.75">
      <c r="E9" s="699" t="s">
        <v>139</v>
      </c>
      <c r="F9" s="516">
        <f>+F8</f>
        <v>50160</v>
      </c>
      <c r="G9" s="291"/>
      <c r="H9" s="291"/>
      <c r="I9" s="282">
        <f>+I8</f>
        <v>0</v>
      </c>
      <c r="J9" s="282">
        <f t="shared" si="0"/>
        <v>0</v>
      </c>
      <c r="K9" s="282">
        <f t="shared" si="0"/>
        <v>0</v>
      </c>
      <c r="L9" s="282">
        <f t="shared" si="0"/>
        <v>0</v>
      </c>
      <c r="M9" s="282">
        <f t="shared" si="0"/>
        <v>0</v>
      </c>
      <c r="N9" s="282">
        <f t="shared" si="0"/>
        <v>1680</v>
      </c>
      <c r="O9" s="282">
        <f t="shared" si="0"/>
        <v>0</v>
      </c>
      <c r="P9" s="282">
        <f t="shared" si="0"/>
        <v>0</v>
      </c>
      <c r="Q9" s="282">
        <f t="shared" si="0"/>
        <v>600</v>
      </c>
      <c r="R9" s="282">
        <f t="shared" si="0"/>
        <v>0</v>
      </c>
      <c r="S9" s="282">
        <f t="shared" si="0"/>
        <v>0</v>
      </c>
      <c r="T9" s="282">
        <f t="shared" si="0"/>
        <v>0</v>
      </c>
      <c r="U9" s="68"/>
    </row>
    <row r="11" spans="1:5" ht="21.75">
      <c r="A11" s="143" t="s">
        <v>140</v>
      </c>
      <c r="B11" s="1250" t="s">
        <v>141</v>
      </c>
      <c r="C11" s="1250"/>
      <c r="D11" s="1250"/>
      <c r="E11" s="1250"/>
    </row>
  </sheetData>
  <sheetProtection/>
  <mergeCells count="31">
    <mergeCell ref="O4:O5"/>
    <mergeCell ref="B6:B7"/>
    <mergeCell ref="F4:F5"/>
    <mergeCell ref="I3:T3"/>
    <mergeCell ref="P4:P5"/>
    <mergeCell ref="B11:E11"/>
    <mergeCell ref="R4:R5"/>
    <mergeCell ref="S4:S5"/>
    <mergeCell ref="K4:K5"/>
    <mergeCell ref="G4:G5"/>
    <mergeCell ref="T4:T5"/>
    <mergeCell ref="N4:N5"/>
    <mergeCell ref="D3:D5"/>
    <mergeCell ref="L4:L5"/>
    <mergeCell ref="E3:G3"/>
    <mergeCell ref="C6:C7"/>
    <mergeCell ref="U3:U5"/>
    <mergeCell ref="M4:M5"/>
    <mergeCell ref="U6:U7"/>
    <mergeCell ref="D6:D7"/>
    <mergeCell ref="H3:H5"/>
    <mergeCell ref="A1:U1"/>
    <mergeCell ref="A2:D2"/>
    <mergeCell ref="A3:A5"/>
    <mergeCell ref="B3:B5"/>
    <mergeCell ref="C3:C5"/>
    <mergeCell ref="A6:A7"/>
    <mergeCell ref="I4:I5"/>
    <mergeCell ref="J4:J5"/>
    <mergeCell ref="Q4:Q5"/>
    <mergeCell ref="E4:E5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S22"/>
  <sheetViews>
    <sheetView zoomScale="110" zoomScaleNormal="110" workbookViewId="0" topLeftCell="A4">
      <selection activeCell="K14" sqref="K14"/>
    </sheetView>
  </sheetViews>
  <sheetFormatPr defaultColWidth="8.8515625" defaultRowHeight="15"/>
  <cols>
    <col min="1" max="1" width="6.28125" style="1139" customWidth="1"/>
    <col min="2" max="2" width="36.8515625" style="1139" customWidth="1"/>
    <col min="3" max="3" width="10.57421875" style="1139" customWidth="1"/>
    <col min="4" max="5" width="8.421875" style="1139" customWidth="1"/>
    <col min="6" max="6" width="9.8515625" style="1139" customWidth="1"/>
    <col min="7" max="7" width="10.140625" style="1139" customWidth="1"/>
    <col min="8" max="8" width="10.57421875" style="1139" customWidth="1"/>
    <col min="9" max="9" width="8.140625" style="1139" customWidth="1"/>
    <col min="10" max="10" width="7.8515625" style="1139" customWidth="1"/>
    <col min="11" max="11" width="10.140625" style="1139" customWidth="1"/>
    <col min="12" max="12" width="11.421875" style="1139" customWidth="1"/>
    <col min="13" max="13" width="8.8515625" style="1139" customWidth="1"/>
    <col min="14" max="14" width="14.140625" style="1139" customWidth="1"/>
    <col min="15" max="16384" width="8.8515625" style="1139" customWidth="1"/>
  </cols>
  <sheetData>
    <row r="1" spans="1:19" ht="21">
      <c r="A1" s="1221" t="s">
        <v>1565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N1" s="1222"/>
      <c r="O1" s="1222"/>
      <c r="P1" s="1222"/>
      <c r="Q1" s="1222"/>
      <c r="R1" s="1222"/>
      <c r="S1" s="1222"/>
    </row>
    <row r="2" spans="1:12" ht="21">
      <c r="A2" s="1140" t="s">
        <v>1071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</row>
    <row r="3" spans="1:12" ht="21" customHeight="1">
      <c r="A3" s="1223" t="s">
        <v>0</v>
      </c>
      <c r="B3" s="1223" t="s">
        <v>1533</v>
      </c>
      <c r="C3" s="1224" t="s">
        <v>1542</v>
      </c>
      <c r="D3" s="1225"/>
      <c r="E3" s="1225"/>
      <c r="F3" s="1225"/>
      <c r="G3" s="1226"/>
      <c r="H3" s="1223" t="s">
        <v>1543</v>
      </c>
      <c r="I3" s="1223"/>
      <c r="J3" s="1223"/>
      <c r="K3" s="1223"/>
      <c r="L3" s="1227" t="s">
        <v>1534</v>
      </c>
    </row>
    <row r="4" spans="1:12" ht="60.75">
      <c r="A4" s="1223"/>
      <c r="B4" s="1223"/>
      <c r="C4" s="1142" t="s">
        <v>1535</v>
      </c>
      <c r="D4" s="1142" t="s">
        <v>1544</v>
      </c>
      <c r="E4" s="1142" t="s">
        <v>1545</v>
      </c>
      <c r="F4" s="1142" t="s">
        <v>1546</v>
      </c>
      <c r="G4" s="1142" t="s">
        <v>4</v>
      </c>
      <c r="H4" s="1142" t="s">
        <v>1535</v>
      </c>
      <c r="I4" s="1142" t="s">
        <v>1544</v>
      </c>
      <c r="J4" s="1142" t="s">
        <v>1545</v>
      </c>
      <c r="K4" s="1142" t="s">
        <v>1546</v>
      </c>
      <c r="L4" s="1228"/>
    </row>
    <row r="5" spans="1:12" s="1145" customFormat="1" ht="69" customHeight="1">
      <c r="A5" s="1159">
        <v>1</v>
      </c>
      <c r="B5" s="1160" t="s">
        <v>1564</v>
      </c>
      <c r="C5" s="1171">
        <f>โครงยุทธศาสตร์!C14</f>
        <v>39500</v>
      </c>
      <c r="D5" s="1143"/>
      <c r="E5" s="1144"/>
      <c r="F5" s="1161"/>
      <c r="G5" s="1161">
        <f>SUM(C5:F5)</f>
        <v>39500</v>
      </c>
      <c r="H5" s="1161">
        <f>โครงยุทธศาสตร์!F14</f>
        <v>39500</v>
      </c>
      <c r="I5" s="1162"/>
      <c r="J5" s="1162"/>
      <c r="K5" s="1161"/>
      <c r="L5" s="1161">
        <f>SUM(H5:K5)</f>
        <v>39500</v>
      </c>
    </row>
    <row r="6" spans="1:12" s="1145" customFormat="1" ht="71.25" customHeight="1">
      <c r="A6" s="1193">
        <v>2</v>
      </c>
      <c r="B6" s="1160" t="s">
        <v>1585</v>
      </c>
      <c r="C6" s="1171">
        <f>โครงยุทธศาสตร์!C23</f>
        <v>11250</v>
      </c>
      <c r="D6" s="1143"/>
      <c r="E6" s="1144"/>
      <c r="F6" s="1161"/>
      <c r="G6" s="1161">
        <f>SUM(C6:F6)</f>
        <v>11250</v>
      </c>
      <c r="H6" s="1161">
        <f>โครงยุทธศาสตร์!F23</f>
        <v>11250</v>
      </c>
      <c r="I6" s="1162"/>
      <c r="J6" s="1162"/>
      <c r="K6" s="1161"/>
      <c r="L6" s="1161">
        <f>SUM(H6:K6)</f>
        <v>11250</v>
      </c>
    </row>
    <row r="7" spans="1:12" s="1145" customFormat="1" ht="50.25" customHeight="1">
      <c r="A7" s="1193">
        <v>3</v>
      </c>
      <c r="B7" s="1160" t="s">
        <v>1586</v>
      </c>
      <c r="C7" s="1171">
        <f>โครงยุทธศาสตร์!C31</f>
        <v>13460</v>
      </c>
      <c r="D7" s="1143"/>
      <c r="E7" s="1144"/>
      <c r="F7" s="1161"/>
      <c r="G7" s="1161">
        <f>SUM(C7:F7)</f>
        <v>13460</v>
      </c>
      <c r="H7" s="1161">
        <f>โครงยุทธศาสตร์!F31</f>
        <v>13460</v>
      </c>
      <c r="I7" s="1162"/>
      <c r="J7" s="1162"/>
      <c r="K7" s="1161"/>
      <c r="L7" s="1161">
        <f>SUM(H7:K7)</f>
        <v>13460</v>
      </c>
    </row>
    <row r="8" spans="1:12" s="1145" customFormat="1" ht="87.75" customHeight="1">
      <c r="A8" s="1193">
        <v>4</v>
      </c>
      <c r="B8" s="1160" t="s">
        <v>1598</v>
      </c>
      <c r="C8" s="1171">
        <f>โครงยุทธศาสตร์!C39</f>
        <v>4875</v>
      </c>
      <c r="D8" s="1143"/>
      <c r="E8" s="1144"/>
      <c r="F8" s="1161"/>
      <c r="G8" s="1161">
        <f>SUM(C8:F8)</f>
        <v>4875</v>
      </c>
      <c r="H8" s="1161">
        <f>โครงยุทธศาสตร์!F39</f>
        <v>2925</v>
      </c>
      <c r="I8" s="1162"/>
      <c r="J8" s="1162"/>
      <c r="K8" s="1161"/>
      <c r="L8" s="1161">
        <f>SUM(H8:K8)</f>
        <v>2925</v>
      </c>
    </row>
    <row r="9" spans="1:12" s="1145" customFormat="1" ht="81">
      <c r="A9" s="1193">
        <v>5</v>
      </c>
      <c r="B9" s="1160" t="s">
        <v>1597</v>
      </c>
      <c r="C9" s="1171"/>
      <c r="D9" s="1143"/>
      <c r="E9" s="1144"/>
      <c r="F9" s="1161"/>
      <c r="G9" s="1161"/>
      <c r="H9" s="1161">
        <f>โครงยุทธศาสตร์!F47</f>
        <v>1750</v>
      </c>
      <c r="I9" s="1162"/>
      <c r="J9" s="1162"/>
      <c r="K9" s="1161"/>
      <c r="L9" s="1161">
        <f>SUM(H9:K9)</f>
        <v>1750</v>
      </c>
    </row>
    <row r="10" spans="1:14" s="1148" customFormat="1" ht="36" customHeight="1">
      <c r="A10" s="1146"/>
      <c r="B10" s="1147" t="s">
        <v>4</v>
      </c>
      <c r="C10" s="1147">
        <f>SUM(C5:C9)</f>
        <v>69085</v>
      </c>
      <c r="D10" s="1147"/>
      <c r="E10" s="1147"/>
      <c r="F10" s="1147"/>
      <c r="G10" s="1147">
        <f>SUM(G5:G9)</f>
        <v>69085</v>
      </c>
      <c r="H10" s="1147">
        <f>SUM(H5:H9)</f>
        <v>68885</v>
      </c>
      <c r="I10" s="1147"/>
      <c r="J10" s="1147"/>
      <c r="K10" s="1147"/>
      <c r="L10" s="1147">
        <f>SUM(L5:L9)</f>
        <v>68885</v>
      </c>
      <c r="N10" s="1154"/>
    </row>
    <row r="11" spans="1:14" s="1130" customFormat="1" ht="21">
      <c r="A11" s="1158"/>
      <c r="B11" s="1156"/>
      <c r="C11" s="1156"/>
      <c r="D11" s="1156"/>
      <c r="E11" s="1156"/>
      <c r="F11" s="1156"/>
      <c r="G11" s="1156"/>
      <c r="H11" s="1157"/>
      <c r="I11" s="1157"/>
      <c r="J11" s="1157"/>
      <c r="K11" s="1157"/>
      <c r="L11" s="1157"/>
      <c r="N11" s="1153"/>
    </row>
    <row r="12" spans="1:13" s="1138" customFormat="1" ht="13.5" customHeight="1">
      <c r="A12" s="1131"/>
      <c r="B12" s="1132"/>
      <c r="C12" s="1131"/>
      <c r="D12" s="1131"/>
      <c r="E12" s="1131"/>
      <c r="F12" s="1131"/>
      <c r="G12" s="1131"/>
      <c r="H12" s="1133"/>
      <c r="I12" s="1134"/>
      <c r="J12" s="1131"/>
      <c r="K12" s="1135"/>
      <c r="L12" s="1136"/>
      <c r="M12" s="1137"/>
    </row>
    <row r="13" spans="1:12" s="1150" customFormat="1" ht="18.75">
      <c r="A13" s="1149"/>
      <c r="C13" s="1229" t="s">
        <v>1536</v>
      </c>
      <c r="D13" s="1229"/>
      <c r="E13" s="1229"/>
      <c r="F13" s="1229"/>
      <c r="G13" s="1229"/>
      <c r="H13" s="1229"/>
      <c r="I13" s="1229"/>
      <c r="J13" s="1229"/>
      <c r="K13" s="1149"/>
      <c r="L13" s="1149"/>
    </row>
    <row r="14" spans="1:12" s="1150" customFormat="1" ht="18.75">
      <c r="A14" s="1149"/>
      <c r="C14" s="1229" t="s">
        <v>1550</v>
      </c>
      <c r="D14" s="1229"/>
      <c r="E14" s="1229"/>
      <c r="F14" s="1229"/>
      <c r="G14" s="1229"/>
      <c r="H14" s="1229"/>
      <c r="I14" s="1229"/>
      <c r="J14" s="1229"/>
      <c r="K14" s="1149"/>
      <c r="L14" s="1149"/>
    </row>
    <row r="15" spans="1:12" s="1150" customFormat="1" ht="18.75">
      <c r="A15" s="1149"/>
      <c r="C15" s="1229" t="s">
        <v>1539</v>
      </c>
      <c r="D15" s="1229"/>
      <c r="E15" s="1229"/>
      <c r="F15" s="1229"/>
      <c r="G15" s="1229"/>
      <c r="H15" s="1229"/>
      <c r="I15" s="1229"/>
      <c r="J15" s="1229"/>
      <c r="K15" s="1151"/>
      <c r="L15" s="1149"/>
    </row>
    <row r="16" spans="1:12" s="1150" customFormat="1" ht="18.75">
      <c r="A16" s="1149"/>
      <c r="B16" s="1149"/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</row>
    <row r="17" spans="1:12" s="1150" customFormat="1" ht="24" customHeight="1">
      <c r="A17" s="1149"/>
      <c r="C17" s="1229" t="s">
        <v>1537</v>
      </c>
      <c r="D17" s="1229"/>
      <c r="E17" s="1229"/>
      <c r="F17" s="1229"/>
      <c r="G17" s="1229"/>
      <c r="H17" s="1229"/>
      <c r="I17" s="1229"/>
      <c r="J17" s="1229"/>
      <c r="K17" s="1149"/>
      <c r="L17" s="1149"/>
    </row>
    <row r="18" spans="1:12" s="1150" customFormat="1" ht="18.75">
      <c r="A18" s="1149"/>
      <c r="C18" s="1229" t="s">
        <v>1551</v>
      </c>
      <c r="D18" s="1229"/>
      <c r="E18" s="1229"/>
      <c r="F18" s="1229"/>
      <c r="G18" s="1229"/>
      <c r="H18" s="1229"/>
      <c r="I18" s="1229"/>
      <c r="J18" s="1229"/>
      <c r="K18" s="1149"/>
      <c r="L18" s="1149"/>
    </row>
    <row r="19" spans="1:12" s="1150" customFormat="1" ht="18.75">
      <c r="A19" s="1149"/>
      <c r="C19" s="1229" t="s">
        <v>1540</v>
      </c>
      <c r="D19" s="1229"/>
      <c r="E19" s="1229"/>
      <c r="F19" s="1229"/>
      <c r="G19" s="1229"/>
      <c r="H19" s="1229"/>
      <c r="I19" s="1229"/>
      <c r="J19" s="1229"/>
      <c r="K19" s="1155"/>
      <c r="L19" s="1149"/>
    </row>
    <row r="20" spans="1:12" s="1150" customFormat="1" ht="18.75">
      <c r="A20" s="1149"/>
      <c r="B20" s="1149"/>
      <c r="C20" s="1149"/>
      <c r="D20" s="1149"/>
      <c r="E20" s="1149"/>
      <c r="F20" s="1149"/>
      <c r="G20" s="1149"/>
      <c r="H20" s="1149"/>
      <c r="I20" s="1149"/>
      <c r="J20" s="1149"/>
      <c r="K20" s="1149"/>
      <c r="L20" s="1149"/>
    </row>
    <row r="21" spans="1:12" s="1150" customFormat="1" ht="24" customHeight="1">
      <c r="A21" s="1149"/>
      <c r="C21" s="1229" t="s">
        <v>1538</v>
      </c>
      <c r="D21" s="1229"/>
      <c r="E21" s="1229"/>
      <c r="F21" s="1229"/>
      <c r="G21" s="1229"/>
      <c r="H21" s="1229"/>
      <c r="I21" s="1229"/>
      <c r="J21" s="1229"/>
      <c r="K21" s="1149"/>
      <c r="L21" s="1149"/>
    </row>
    <row r="22" spans="1:12" s="1150" customFormat="1" ht="18.75">
      <c r="A22" s="1149"/>
      <c r="B22" s="1152"/>
      <c r="C22" s="1229"/>
      <c r="D22" s="1229"/>
      <c r="E22" s="1229"/>
      <c r="F22" s="1229"/>
      <c r="G22" s="1229"/>
      <c r="H22" s="1229"/>
      <c r="I22" s="1229"/>
      <c r="J22" s="1229"/>
      <c r="K22" s="1149"/>
      <c r="L22" s="1149"/>
    </row>
    <row r="23" s="1150" customFormat="1" ht="18.75"/>
  </sheetData>
  <sheetProtection/>
  <mergeCells count="15">
    <mergeCell ref="C21:J21"/>
    <mergeCell ref="C22:J22"/>
    <mergeCell ref="C13:J13"/>
    <mergeCell ref="C14:J14"/>
    <mergeCell ref="C15:J15"/>
    <mergeCell ref="C17:J17"/>
    <mergeCell ref="C18:J18"/>
    <mergeCell ref="C19:J19"/>
    <mergeCell ref="A1:L1"/>
    <mergeCell ref="N1:S1"/>
    <mergeCell ref="A3:A4"/>
    <mergeCell ref="B3:B4"/>
    <mergeCell ref="C3:G3"/>
    <mergeCell ref="H3:K3"/>
    <mergeCell ref="L3:L4"/>
  </mergeCells>
  <printOptions/>
  <pageMargins left="0.3937007874015748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zoomScaleSheetLayoutView="100" zoomScalePageLayoutView="0" workbookViewId="0" topLeftCell="A1">
      <selection activeCell="C11" sqref="C11"/>
    </sheetView>
  </sheetViews>
  <sheetFormatPr defaultColWidth="9.00390625" defaultRowHeight="15"/>
  <cols>
    <col min="1" max="1" width="4.8515625" style="14" bestFit="1" customWidth="1"/>
    <col min="2" max="2" width="17.57421875" style="1" customWidth="1"/>
    <col min="3" max="4" width="6.00390625" style="17" customWidth="1"/>
    <col min="5" max="5" width="6.8515625" style="17" bestFit="1" customWidth="1"/>
    <col min="6" max="6" width="6.57421875" style="17" bestFit="1" customWidth="1"/>
    <col min="7" max="8" width="6.00390625" style="17" customWidth="1"/>
    <col min="9" max="9" width="6.8515625" style="17" bestFit="1" customWidth="1"/>
    <col min="10" max="10" width="6.57421875" style="17" bestFit="1" customWidth="1"/>
    <col min="11" max="12" width="6.00390625" style="14" customWidth="1"/>
    <col min="13" max="13" width="6.8515625" style="14" bestFit="1" customWidth="1"/>
    <col min="14" max="14" width="6.57421875" style="14" bestFit="1" customWidth="1"/>
    <col min="15" max="16384" width="9.00390625" style="1" customWidth="1"/>
  </cols>
  <sheetData>
    <row r="1" spans="1:2" ht="23.25">
      <c r="A1" s="16" t="s">
        <v>38</v>
      </c>
      <c r="B1" s="16"/>
    </row>
    <row r="2" spans="1:14" s="2" customFormat="1" ht="20.25">
      <c r="A2" s="1919" t="s">
        <v>0</v>
      </c>
      <c r="B2" s="1919" t="s">
        <v>1</v>
      </c>
      <c r="C2" s="1918" t="s">
        <v>39</v>
      </c>
      <c r="D2" s="1918"/>
      <c r="E2" s="1918"/>
      <c r="F2" s="1918"/>
      <c r="G2" s="1920" t="s">
        <v>40</v>
      </c>
      <c r="H2" s="1920"/>
      <c r="I2" s="1920"/>
      <c r="J2" s="1920"/>
      <c r="K2" s="1921" t="s">
        <v>4</v>
      </c>
      <c r="L2" s="1921"/>
      <c r="M2" s="1921"/>
      <c r="N2" s="1921"/>
    </row>
    <row r="3" spans="1:14" s="3" customFormat="1" ht="40.5">
      <c r="A3" s="1919"/>
      <c r="B3" s="1919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 ht="20.25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>D4+H4</f>
        <v>1</v>
      </c>
      <c r="M4" s="27">
        <f>E4+I4</f>
        <v>0</v>
      </c>
      <c r="N4" s="27">
        <f>F4+J4</f>
        <v>3</v>
      </c>
    </row>
    <row r="5" spans="1:14" ht="20.25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aca="true" t="shared" si="0" ref="K5:K17">C5+G5</f>
        <v>12</v>
      </c>
      <c r="L5" s="27">
        <f aca="true" t="shared" si="1" ref="L5:L17">D5+H5</f>
        <v>1</v>
      </c>
      <c r="M5" s="27">
        <f aca="true" t="shared" si="2" ref="M5:M17">E5+I5</f>
        <v>0</v>
      </c>
      <c r="N5" s="27">
        <f aca="true" t="shared" si="3" ref="N5:N17">F5+J5</f>
        <v>1</v>
      </c>
    </row>
    <row r="6" spans="1:14" ht="20.25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0"/>
        <v>9</v>
      </c>
      <c r="L6" s="27">
        <f t="shared" si="1"/>
        <v>2</v>
      </c>
      <c r="M6" s="27">
        <f t="shared" si="2"/>
        <v>0</v>
      </c>
      <c r="N6" s="27">
        <f t="shared" si="3"/>
        <v>0</v>
      </c>
    </row>
    <row r="7" spans="1:14" ht="20.25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0"/>
        <v>1</v>
      </c>
      <c r="L7" s="27">
        <f t="shared" si="1"/>
        <v>2</v>
      </c>
      <c r="M7" s="27">
        <f t="shared" si="2"/>
        <v>0</v>
      </c>
      <c r="N7" s="27">
        <f t="shared" si="3"/>
        <v>0</v>
      </c>
    </row>
    <row r="8" spans="1:14" ht="20.25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0"/>
        <v>9</v>
      </c>
      <c r="L8" s="27">
        <f t="shared" si="1"/>
        <v>9</v>
      </c>
      <c r="M8" s="27">
        <f t="shared" si="2"/>
        <v>0</v>
      </c>
      <c r="N8" s="27">
        <f t="shared" si="3"/>
        <v>1</v>
      </c>
    </row>
    <row r="9" spans="1:14" ht="20.25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0"/>
        <v>4</v>
      </c>
      <c r="L9" s="27">
        <f t="shared" si="1"/>
        <v>0</v>
      </c>
      <c r="M9" s="27">
        <f t="shared" si="2"/>
        <v>0</v>
      </c>
      <c r="N9" s="27">
        <f t="shared" si="3"/>
        <v>1</v>
      </c>
    </row>
    <row r="10" spans="1:14" ht="20.25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0"/>
        <v>12</v>
      </c>
      <c r="L10" s="27">
        <f t="shared" si="1"/>
        <v>3</v>
      </c>
      <c r="M10" s="27">
        <f t="shared" si="2"/>
        <v>0</v>
      </c>
      <c r="N10" s="27">
        <f t="shared" si="3"/>
        <v>3</v>
      </c>
    </row>
    <row r="11" spans="1:14" ht="20.25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0"/>
        <v>7</v>
      </c>
      <c r="L11" s="27">
        <f t="shared" si="1"/>
        <v>13</v>
      </c>
      <c r="M11" s="27">
        <f t="shared" si="2"/>
        <v>1</v>
      </c>
      <c r="N11" s="27">
        <f t="shared" si="3"/>
        <v>2</v>
      </c>
    </row>
    <row r="12" spans="1:14" s="9" customFormat="1" ht="20.25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0"/>
        <v>6</v>
      </c>
      <c r="L12" s="27">
        <f t="shared" si="1"/>
        <v>4</v>
      </c>
      <c r="M12" s="27">
        <f t="shared" si="2"/>
        <v>0</v>
      </c>
      <c r="N12" s="27">
        <f t="shared" si="3"/>
        <v>3</v>
      </c>
    </row>
    <row r="13" spans="1:14" ht="20.25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0"/>
        <v>1</v>
      </c>
      <c r="L13" s="27">
        <f t="shared" si="1"/>
        <v>2</v>
      </c>
      <c r="M13" s="27">
        <f t="shared" si="2"/>
        <v>0</v>
      </c>
      <c r="N13" s="27">
        <f t="shared" si="3"/>
        <v>2</v>
      </c>
    </row>
    <row r="14" spans="1:14" ht="20.25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0"/>
        <v>2</v>
      </c>
      <c r="L14" s="27">
        <f t="shared" si="1"/>
        <v>3</v>
      </c>
      <c r="M14" s="27">
        <f t="shared" si="2"/>
        <v>0</v>
      </c>
      <c r="N14" s="27">
        <f t="shared" si="3"/>
        <v>2</v>
      </c>
    </row>
    <row r="15" spans="1:14" ht="20.25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0"/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</row>
    <row r="16" spans="1:14" ht="20.25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0"/>
        <v>6</v>
      </c>
      <c r="L16" s="27">
        <f t="shared" si="1"/>
        <v>2</v>
      </c>
      <c r="M16" s="27">
        <f t="shared" si="2"/>
        <v>0</v>
      </c>
      <c r="N16" s="27">
        <f t="shared" si="3"/>
        <v>0</v>
      </c>
    </row>
    <row r="17" spans="1:14" ht="20.25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0"/>
        <v>1</v>
      </c>
      <c r="L17" s="27">
        <f t="shared" si="1"/>
        <v>1</v>
      </c>
      <c r="M17" s="27">
        <f t="shared" si="2"/>
        <v>0</v>
      </c>
      <c r="N17" s="27">
        <f t="shared" si="3"/>
        <v>0</v>
      </c>
    </row>
    <row r="18" spans="1:14" s="13" customFormat="1" ht="20.25">
      <c r="A18" s="12"/>
      <c r="B18" s="12" t="s">
        <v>4</v>
      </c>
      <c r="C18" s="24">
        <f aca="true" t="shared" si="4" ref="C18:N18">SUM(C4:C17)</f>
        <v>48</v>
      </c>
      <c r="D18" s="24">
        <f t="shared" si="4"/>
        <v>32</v>
      </c>
      <c r="E18" s="24">
        <f t="shared" si="4"/>
        <v>1</v>
      </c>
      <c r="F18" s="24">
        <f t="shared" si="4"/>
        <v>12</v>
      </c>
      <c r="G18" s="20">
        <f t="shared" si="4"/>
        <v>25</v>
      </c>
      <c r="H18" s="20">
        <f t="shared" si="4"/>
        <v>11</v>
      </c>
      <c r="I18" s="20">
        <f t="shared" si="4"/>
        <v>0</v>
      </c>
      <c r="J18" s="20">
        <f t="shared" si="4"/>
        <v>6</v>
      </c>
      <c r="K18" s="26">
        <f t="shared" si="4"/>
        <v>73</v>
      </c>
      <c r="L18" s="26">
        <f t="shared" si="4"/>
        <v>43</v>
      </c>
      <c r="M18" s="26">
        <f t="shared" si="4"/>
        <v>1</v>
      </c>
      <c r="N18" s="26">
        <f t="shared" si="4"/>
        <v>18</v>
      </c>
    </row>
  </sheetData>
  <sheetProtection/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8"/>
  <sheetViews>
    <sheetView tabSelected="1" zoomScale="116" zoomScaleNormal="116" zoomScalePageLayoutView="0" workbookViewId="0" topLeftCell="A1">
      <selection activeCell="L1" sqref="L1"/>
    </sheetView>
  </sheetViews>
  <sheetFormatPr defaultColWidth="8.8515625" defaultRowHeight="15"/>
  <cols>
    <col min="1" max="1" width="5.28125" style="1128" customWidth="1"/>
    <col min="2" max="2" width="57.140625" style="1124" customWidth="1"/>
    <col min="3" max="3" width="14.28125" style="1189" customWidth="1"/>
    <col min="4" max="4" width="5.140625" style="1126" customWidth="1"/>
    <col min="5" max="5" width="57.57421875" style="9" customWidth="1"/>
    <col min="6" max="6" width="15.57421875" style="1190" customWidth="1"/>
    <col min="7" max="7" width="9.28125" style="9" customWidth="1"/>
    <col min="8" max="16384" width="8.8515625" style="9" customWidth="1"/>
  </cols>
  <sheetData>
    <row r="1" spans="1:7" s="1170" customFormat="1" ht="28.5" customHeight="1">
      <c r="A1" s="1233" t="s">
        <v>1558</v>
      </c>
      <c r="B1" s="1233"/>
      <c r="C1" s="1233"/>
      <c r="D1" s="1233"/>
      <c r="E1" s="1233"/>
      <c r="F1" s="1233"/>
      <c r="G1" s="1233"/>
    </row>
    <row r="2" spans="1:7" s="1164" customFormat="1" ht="27.75" customHeight="1">
      <c r="A2" s="1125" t="s">
        <v>0</v>
      </c>
      <c r="B2" s="1234" t="s">
        <v>1541</v>
      </c>
      <c r="C2" s="1235"/>
      <c r="D2" s="1192" t="s">
        <v>0</v>
      </c>
      <c r="E2" s="1236" t="s">
        <v>1547</v>
      </c>
      <c r="F2" s="1237"/>
      <c r="G2" s="1192" t="s">
        <v>1548</v>
      </c>
    </row>
    <row r="3" spans="1:9" ht="45.75" customHeight="1">
      <c r="A3" s="1238">
        <v>1</v>
      </c>
      <c r="B3" s="1230" t="s">
        <v>1554</v>
      </c>
      <c r="C3" s="1230"/>
      <c r="D3" s="1240">
        <v>1</v>
      </c>
      <c r="E3" s="1230" t="s">
        <v>1555</v>
      </c>
      <c r="F3" s="1230"/>
      <c r="G3" s="1240"/>
      <c r="I3" s="1129"/>
    </row>
    <row r="4" spans="1:7" ht="42" customHeight="1">
      <c r="A4" s="1239"/>
      <c r="B4" s="1230" t="s">
        <v>1574</v>
      </c>
      <c r="C4" s="1230"/>
      <c r="D4" s="1241"/>
      <c r="E4" s="1230" t="s">
        <v>1574</v>
      </c>
      <c r="F4" s="1230"/>
      <c r="G4" s="1241"/>
    </row>
    <row r="5" spans="1:7" ht="20.25">
      <c r="A5" s="1239"/>
      <c r="B5" s="1231" t="s">
        <v>1552</v>
      </c>
      <c r="C5" s="1231"/>
      <c r="D5" s="1241"/>
      <c r="E5" s="1231" t="s">
        <v>1552</v>
      </c>
      <c r="F5" s="1231"/>
      <c r="G5" s="1241"/>
    </row>
    <row r="6" spans="1:7" ht="20.25">
      <c r="A6" s="1239"/>
      <c r="B6" s="1231" t="s">
        <v>1556</v>
      </c>
      <c r="C6" s="1231"/>
      <c r="D6" s="1241"/>
      <c r="E6" s="1231" t="s">
        <v>1557</v>
      </c>
      <c r="F6" s="1231"/>
      <c r="G6" s="1241"/>
    </row>
    <row r="7" spans="1:7" s="1164" customFormat="1" ht="30.75" customHeight="1">
      <c r="A7" s="1239"/>
      <c r="B7" s="1166" t="s">
        <v>52</v>
      </c>
      <c r="C7" s="1181" t="s">
        <v>1549</v>
      </c>
      <c r="D7" s="1241"/>
      <c r="E7" s="1166" t="s">
        <v>52</v>
      </c>
      <c r="F7" s="1181" t="s">
        <v>1549</v>
      </c>
      <c r="G7" s="1241"/>
    </row>
    <row r="8" spans="1:7" s="1165" customFormat="1" ht="30" customHeight="1">
      <c r="A8" s="1239"/>
      <c r="B8" s="1172" t="s">
        <v>1559</v>
      </c>
      <c r="C8" s="1182">
        <f>70*80*2</f>
        <v>11200</v>
      </c>
      <c r="D8" s="1241"/>
      <c r="E8" s="1172" t="s">
        <v>1559</v>
      </c>
      <c r="F8" s="1182">
        <f>70*80*2</f>
        <v>11200</v>
      </c>
      <c r="G8" s="1241"/>
    </row>
    <row r="9" spans="1:7" s="1165" customFormat="1" ht="48" customHeight="1">
      <c r="A9" s="1239"/>
      <c r="B9" s="1172" t="s">
        <v>1560</v>
      </c>
      <c r="C9" s="1182">
        <f>70*35*2*2</f>
        <v>9800</v>
      </c>
      <c r="D9" s="1241"/>
      <c r="E9" s="1172" t="s">
        <v>1560</v>
      </c>
      <c r="F9" s="1182">
        <f>70*35*2*2</f>
        <v>9800</v>
      </c>
      <c r="G9" s="1241"/>
    </row>
    <row r="10" spans="1:7" s="1165" customFormat="1" ht="30" customHeight="1">
      <c r="A10" s="1239"/>
      <c r="B10" s="1173" t="s">
        <v>1553</v>
      </c>
      <c r="C10" s="1183">
        <f>4000*0.5</f>
        <v>2000</v>
      </c>
      <c r="D10" s="1241"/>
      <c r="E10" s="1173" t="s">
        <v>1553</v>
      </c>
      <c r="F10" s="1183">
        <f>4000*0.5</f>
        <v>2000</v>
      </c>
      <c r="G10" s="1241"/>
    </row>
    <row r="11" spans="1:7" s="1165" customFormat="1" ht="30" customHeight="1">
      <c r="A11" s="1239"/>
      <c r="B11" s="1174" t="s">
        <v>1561</v>
      </c>
      <c r="C11" s="1182">
        <f>70*30</f>
        <v>2100</v>
      </c>
      <c r="D11" s="1241"/>
      <c r="E11" s="1174" t="s">
        <v>1561</v>
      </c>
      <c r="F11" s="1182">
        <f>70*30</f>
        <v>2100</v>
      </c>
      <c r="G11" s="1241"/>
    </row>
    <row r="12" spans="1:7" s="1165" customFormat="1" ht="30" customHeight="1">
      <c r="A12" s="1239"/>
      <c r="B12" s="1174" t="s">
        <v>1562</v>
      </c>
      <c r="C12" s="1182">
        <f>2*3*600</f>
        <v>3600</v>
      </c>
      <c r="D12" s="1241"/>
      <c r="E12" s="1174" t="s">
        <v>1562</v>
      </c>
      <c r="F12" s="1182">
        <f>2*3*600</f>
        <v>3600</v>
      </c>
      <c r="G12" s="1241"/>
    </row>
    <row r="13" spans="1:7" s="1165" customFormat="1" ht="45.75" customHeight="1">
      <c r="A13" s="1239"/>
      <c r="B13" s="1174" t="s">
        <v>1563</v>
      </c>
      <c r="C13" s="1182">
        <f>2*3*3*600</f>
        <v>10800</v>
      </c>
      <c r="D13" s="1241"/>
      <c r="E13" s="1174" t="s">
        <v>1563</v>
      </c>
      <c r="F13" s="1182">
        <f>2*3*3*600</f>
        <v>10800</v>
      </c>
      <c r="G13" s="1241"/>
    </row>
    <row r="14" spans="1:7" s="1164" customFormat="1" ht="28.5" customHeight="1">
      <c r="A14" s="1166"/>
      <c r="B14" s="1167" t="s">
        <v>1065</v>
      </c>
      <c r="C14" s="1184">
        <f>SUM(C8:C13)</f>
        <v>39500</v>
      </c>
      <c r="D14" s="1127"/>
      <c r="E14" s="1168" t="s">
        <v>1065</v>
      </c>
      <c r="F14" s="1184">
        <f>SUM(F8:F13)</f>
        <v>39500</v>
      </c>
      <c r="G14" s="1169"/>
    </row>
    <row r="15" spans="1:9" ht="45.75" customHeight="1">
      <c r="A15" s="1238">
        <v>2</v>
      </c>
      <c r="B15" s="1230" t="s">
        <v>1566</v>
      </c>
      <c r="C15" s="1230"/>
      <c r="D15" s="1240">
        <v>2</v>
      </c>
      <c r="E15" s="1230" t="s">
        <v>1566</v>
      </c>
      <c r="F15" s="1230"/>
      <c r="G15" s="1240"/>
      <c r="I15" s="1129"/>
    </row>
    <row r="16" spans="1:7" ht="32.25" customHeight="1">
      <c r="A16" s="1239"/>
      <c r="B16" s="1230" t="s">
        <v>1591</v>
      </c>
      <c r="C16" s="1230"/>
      <c r="D16" s="1241"/>
      <c r="E16" s="1230" t="s">
        <v>1591</v>
      </c>
      <c r="F16" s="1230"/>
      <c r="G16" s="1241"/>
    </row>
    <row r="17" spans="1:7" ht="20.25">
      <c r="A17" s="1239"/>
      <c r="B17" s="1231" t="s">
        <v>1552</v>
      </c>
      <c r="C17" s="1231"/>
      <c r="D17" s="1241"/>
      <c r="E17" s="1231" t="s">
        <v>1552</v>
      </c>
      <c r="F17" s="1231"/>
      <c r="G17" s="1241"/>
    </row>
    <row r="18" spans="1:7" ht="20.25">
      <c r="A18" s="1239"/>
      <c r="B18" s="1231" t="s">
        <v>1592</v>
      </c>
      <c r="C18" s="1231"/>
      <c r="D18" s="1241"/>
      <c r="E18" s="1231" t="s">
        <v>1593</v>
      </c>
      <c r="F18" s="1231"/>
      <c r="G18" s="1241"/>
    </row>
    <row r="19" spans="1:7" s="1164" customFormat="1" ht="30.75" customHeight="1">
      <c r="A19" s="1239"/>
      <c r="B19" s="1166" t="s">
        <v>52</v>
      </c>
      <c r="C19" s="1181" t="s">
        <v>1549</v>
      </c>
      <c r="D19" s="1241"/>
      <c r="E19" s="1166" t="s">
        <v>52</v>
      </c>
      <c r="F19" s="1181" t="s">
        <v>1549</v>
      </c>
      <c r="G19" s="1241"/>
    </row>
    <row r="20" spans="1:7" s="1165" customFormat="1" ht="43.5" customHeight="1">
      <c r="A20" s="1239"/>
      <c r="B20" s="1175" t="s">
        <v>1567</v>
      </c>
      <c r="C20" s="1185">
        <f>3*50*35</f>
        <v>5250</v>
      </c>
      <c r="D20" s="1241"/>
      <c r="E20" s="1175" t="s">
        <v>1567</v>
      </c>
      <c r="F20" s="1185">
        <f>3*50*35</f>
        <v>5250</v>
      </c>
      <c r="G20" s="1241"/>
    </row>
    <row r="21" spans="1:7" s="1165" customFormat="1" ht="26.25" customHeight="1">
      <c r="A21" s="1239"/>
      <c r="B21" s="1176" t="s">
        <v>1568</v>
      </c>
      <c r="C21" s="1186">
        <f>3*1000*0.5</f>
        <v>1500</v>
      </c>
      <c r="D21" s="1241"/>
      <c r="E21" s="1176" t="s">
        <v>1568</v>
      </c>
      <c r="F21" s="1186">
        <f>3*1000*0.5</f>
        <v>1500</v>
      </c>
      <c r="G21" s="1241"/>
    </row>
    <row r="22" spans="1:7" s="1165" customFormat="1" ht="30" customHeight="1">
      <c r="A22" s="1239"/>
      <c r="B22" s="1176" t="s">
        <v>1569</v>
      </c>
      <c r="C22" s="1186">
        <f>3*50*30</f>
        <v>4500</v>
      </c>
      <c r="D22" s="1241"/>
      <c r="E22" s="1176" t="s">
        <v>1569</v>
      </c>
      <c r="F22" s="1186">
        <f>3*50*30</f>
        <v>4500</v>
      </c>
      <c r="G22" s="1241"/>
    </row>
    <row r="23" spans="1:7" s="1164" customFormat="1" ht="28.5" customHeight="1">
      <c r="A23" s="1166"/>
      <c r="B23" s="1167" t="s">
        <v>1065</v>
      </c>
      <c r="C23" s="1184">
        <f>SUM(C20:C22)</f>
        <v>11250</v>
      </c>
      <c r="D23" s="1127"/>
      <c r="E23" s="1168" t="s">
        <v>1065</v>
      </c>
      <c r="F23" s="1184">
        <f>SUM(F20:F22)</f>
        <v>11250</v>
      </c>
      <c r="G23" s="1169"/>
    </row>
    <row r="24" spans="1:9" ht="30" customHeight="1">
      <c r="A24" s="1232">
        <v>3</v>
      </c>
      <c r="B24" s="1230" t="s">
        <v>1570</v>
      </c>
      <c r="C24" s="1230"/>
      <c r="D24" s="1242">
        <v>3</v>
      </c>
      <c r="E24" s="1230" t="s">
        <v>1570</v>
      </c>
      <c r="F24" s="1230"/>
      <c r="G24" s="1242"/>
      <c r="I24" s="1129"/>
    </row>
    <row r="25" spans="1:7" ht="29.25" customHeight="1">
      <c r="A25" s="1232"/>
      <c r="B25" s="1230" t="s">
        <v>1571</v>
      </c>
      <c r="C25" s="1230"/>
      <c r="D25" s="1242"/>
      <c r="E25" s="1230" t="s">
        <v>1571</v>
      </c>
      <c r="F25" s="1230"/>
      <c r="G25" s="1242"/>
    </row>
    <row r="26" spans="1:7" ht="20.25">
      <c r="A26" s="1232"/>
      <c r="B26" s="1231" t="s">
        <v>1552</v>
      </c>
      <c r="C26" s="1231"/>
      <c r="D26" s="1242"/>
      <c r="E26" s="1231" t="s">
        <v>1552</v>
      </c>
      <c r="F26" s="1231"/>
      <c r="G26" s="1242"/>
    </row>
    <row r="27" spans="1:7" ht="20.25">
      <c r="A27" s="1232"/>
      <c r="B27" s="1230" t="s">
        <v>1594</v>
      </c>
      <c r="C27" s="1231"/>
      <c r="D27" s="1242"/>
      <c r="E27" s="1230" t="s">
        <v>1595</v>
      </c>
      <c r="F27" s="1231"/>
      <c r="G27" s="1242"/>
    </row>
    <row r="28" spans="1:7" s="1164" customFormat="1" ht="30.75" customHeight="1">
      <c r="A28" s="1232"/>
      <c r="B28" s="1166" t="s">
        <v>52</v>
      </c>
      <c r="C28" s="1181" t="s">
        <v>1549</v>
      </c>
      <c r="D28" s="1242"/>
      <c r="E28" s="1166" t="s">
        <v>52</v>
      </c>
      <c r="F28" s="1181" t="s">
        <v>1549</v>
      </c>
      <c r="G28" s="1242"/>
    </row>
    <row r="29" spans="1:7" s="1165" customFormat="1" ht="32.25" customHeight="1">
      <c r="A29" s="1232"/>
      <c r="B29" s="1163" t="s">
        <v>1572</v>
      </c>
      <c r="C29" s="1183">
        <f>12*9*120</f>
        <v>12960</v>
      </c>
      <c r="D29" s="1242"/>
      <c r="E29" s="1163" t="s">
        <v>1572</v>
      </c>
      <c r="F29" s="1183">
        <f>12*9*120</f>
        <v>12960</v>
      </c>
      <c r="G29" s="1242"/>
    </row>
    <row r="30" spans="1:7" s="1165" customFormat="1" ht="26.25" customHeight="1">
      <c r="A30" s="1232"/>
      <c r="B30" s="1177" t="s">
        <v>1573</v>
      </c>
      <c r="C30" s="1183">
        <v>500</v>
      </c>
      <c r="D30" s="1242"/>
      <c r="E30" s="1177" t="s">
        <v>1573</v>
      </c>
      <c r="F30" s="1183">
        <v>500</v>
      </c>
      <c r="G30" s="1242"/>
    </row>
    <row r="31" spans="1:7" s="1164" customFormat="1" ht="28.5" customHeight="1">
      <c r="A31" s="1166"/>
      <c r="B31" s="1167" t="s">
        <v>1065</v>
      </c>
      <c r="C31" s="1184">
        <f>SUM(C29:C30)</f>
        <v>13460</v>
      </c>
      <c r="D31" s="1127"/>
      <c r="E31" s="1168" t="s">
        <v>1065</v>
      </c>
      <c r="F31" s="1184">
        <f>SUM(F29:F30)</f>
        <v>13460</v>
      </c>
      <c r="G31" s="1169"/>
    </row>
    <row r="32" spans="1:9" ht="43.5" customHeight="1">
      <c r="A32" s="1232">
        <v>4</v>
      </c>
      <c r="B32" s="1230" t="s">
        <v>1580</v>
      </c>
      <c r="C32" s="1230"/>
      <c r="D32" s="1232">
        <v>4</v>
      </c>
      <c r="E32" s="1230" t="s">
        <v>1580</v>
      </c>
      <c r="F32" s="1230"/>
      <c r="G32" s="1242"/>
      <c r="I32" s="1129"/>
    </row>
    <row r="33" spans="1:7" ht="48" customHeight="1">
      <c r="A33" s="1232"/>
      <c r="B33" s="1230" t="s">
        <v>1581</v>
      </c>
      <c r="C33" s="1230"/>
      <c r="D33" s="1232"/>
      <c r="E33" s="1230" t="s">
        <v>1581</v>
      </c>
      <c r="F33" s="1230"/>
      <c r="G33" s="1242"/>
    </row>
    <row r="34" spans="1:7" ht="20.25">
      <c r="A34" s="1232"/>
      <c r="B34" s="1231" t="s">
        <v>1552</v>
      </c>
      <c r="C34" s="1231"/>
      <c r="D34" s="1232"/>
      <c r="E34" s="1231" t="s">
        <v>1552</v>
      </c>
      <c r="F34" s="1231"/>
      <c r="G34" s="1242"/>
    </row>
    <row r="35" spans="1:7" ht="20.25">
      <c r="A35" s="1232"/>
      <c r="B35" s="1231" t="s">
        <v>1596</v>
      </c>
      <c r="C35" s="1231"/>
      <c r="D35" s="1232"/>
      <c r="E35" s="1231" t="s">
        <v>1596</v>
      </c>
      <c r="F35" s="1231"/>
      <c r="G35" s="1242"/>
    </row>
    <row r="36" spans="1:7" s="1164" customFormat="1" ht="30.75" customHeight="1">
      <c r="A36" s="1232"/>
      <c r="B36" s="1166" t="s">
        <v>52</v>
      </c>
      <c r="C36" s="1181" t="s">
        <v>1549</v>
      </c>
      <c r="D36" s="1232"/>
      <c r="E36" s="1166" t="s">
        <v>52</v>
      </c>
      <c r="F36" s="1181" t="s">
        <v>1549</v>
      </c>
      <c r="G36" s="1242"/>
    </row>
    <row r="37" spans="1:7" s="1165" customFormat="1" ht="31.5" customHeight="1">
      <c r="A37" s="1232"/>
      <c r="B37" s="1163" t="s">
        <v>1583</v>
      </c>
      <c r="C37" s="1191">
        <f>7*5*120</f>
        <v>4200</v>
      </c>
      <c r="D37" s="1232"/>
      <c r="E37" s="1163" t="s">
        <v>1601</v>
      </c>
      <c r="F37" s="1191">
        <f>7*3*120</f>
        <v>2520</v>
      </c>
      <c r="G37" s="1242"/>
    </row>
    <row r="38" spans="1:7" s="1165" customFormat="1" ht="26.25" customHeight="1">
      <c r="A38" s="1232"/>
      <c r="B38" s="1163" t="s">
        <v>1584</v>
      </c>
      <c r="C38" s="1191">
        <f>1*5*135</f>
        <v>675</v>
      </c>
      <c r="D38" s="1232"/>
      <c r="E38" s="1163" t="s">
        <v>1602</v>
      </c>
      <c r="F38" s="1191">
        <f>1*3*135</f>
        <v>405</v>
      </c>
      <c r="G38" s="1242"/>
    </row>
    <row r="39" spans="1:7" s="1164" customFormat="1" ht="30" customHeight="1">
      <c r="A39" s="1207"/>
      <c r="B39" s="1208" t="s">
        <v>1065</v>
      </c>
      <c r="C39" s="1209">
        <f>SUM(C37:C38)</f>
        <v>4875</v>
      </c>
      <c r="D39" s="1166"/>
      <c r="E39" s="1167" t="s">
        <v>1065</v>
      </c>
      <c r="F39" s="1184">
        <f>SUM(F37:F38)</f>
        <v>2925</v>
      </c>
      <c r="G39" s="1212"/>
    </row>
    <row r="40" spans="1:7" ht="20.25">
      <c r="A40" s="1194"/>
      <c r="B40" s="1195"/>
      <c r="C40" s="1196"/>
      <c r="D40" s="1249">
        <v>5</v>
      </c>
      <c r="E40" s="1230" t="s">
        <v>1582</v>
      </c>
      <c r="F40" s="1244"/>
      <c r="G40" s="1203"/>
    </row>
    <row r="41" spans="1:7" ht="20.25">
      <c r="A41" s="1197"/>
      <c r="B41" s="1198"/>
      <c r="C41" s="1199"/>
      <c r="D41" s="1249"/>
      <c r="E41" s="1230" t="s">
        <v>1600</v>
      </c>
      <c r="F41" s="1244"/>
      <c r="G41" s="1204"/>
    </row>
    <row r="42" spans="1:7" ht="20.25">
      <c r="A42" s="1197"/>
      <c r="B42" s="1198"/>
      <c r="C42" s="1199"/>
      <c r="D42" s="1249"/>
      <c r="E42" s="1231" t="s">
        <v>1552</v>
      </c>
      <c r="F42" s="1243"/>
      <c r="G42" s="1204"/>
    </row>
    <row r="43" spans="1:7" ht="20.25">
      <c r="A43" s="1197"/>
      <c r="B43" s="1198"/>
      <c r="C43" s="1199"/>
      <c r="D43" s="1249"/>
      <c r="E43" s="1231" t="s">
        <v>1557</v>
      </c>
      <c r="F43" s="1243"/>
      <c r="G43" s="1204"/>
    </row>
    <row r="44" spans="1:7" ht="20.25">
      <c r="A44" s="1197"/>
      <c r="B44" s="1198"/>
      <c r="C44" s="1199"/>
      <c r="D44" s="1249"/>
      <c r="E44" s="1166" t="s">
        <v>52</v>
      </c>
      <c r="F44" s="1210" t="s">
        <v>1549</v>
      </c>
      <c r="G44" s="1204"/>
    </row>
    <row r="45" spans="1:7" ht="20.25">
      <c r="A45" s="1197"/>
      <c r="B45" s="1198"/>
      <c r="C45" s="1199"/>
      <c r="D45" s="1249"/>
      <c r="E45" s="1245" t="s">
        <v>1599</v>
      </c>
      <c r="F45" s="1247">
        <f>50*35</f>
        <v>1750</v>
      </c>
      <c r="G45" s="1204"/>
    </row>
    <row r="46" spans="1:7" ht="12.75" customHeight="1">
      <c r="A46" s="1197"/>
      <c r="B46" s="1198"/>
      <c r="C46" s="1199"/>
      <c r="D46" s="1249"/>
      <c r="E46" s="1246"/>
      <c r="F46" s="1248"/>
      <c r="G46" s="1204"/>
    </row>
    <row r="47" spans="1:7" ht="28.5" customHeight="1">
      <c r="A47" s="1200"/>
      <c r="B47" s="1201"/>
      <c r="C47" s="1202"/>
      <c r="D47" s="1206"/>
      <c r="E47" s="1168" t="s">
        <v>1065</v>
      </c>
      <c r="F47" s="1211">
        <f>SUM(F45:F46)</f>
        <v>1750</v>
      </c>
      <c r="G47" s="1205"/>
    </row>
    <row r="48" spans="5:7" ht="20.25">
      <c r="E48" s="1922">
        <f>C39</f>
        <v>4875</v>
      </c>
      <c r="F48" s="1923">
        <f>F39+F47</f>
        <v>4675</v>
      </c>
      <c r="G48" s="1922">
        <f>E48-F48</f>
        <v>200</v>
      </c>
    </row>
  </sheetData>
  <sheetProtection/>
  <mergeCells count="54">
    <mergeCell ref="E45:E46"/>
    <mergeCell ref="F45:F46"/>
    <mergeCell ref="A32:A38"/>
    <mergeCell ref="B32:C32"/>
    <mergeCell ref="D40:D46"/>
    <mergeCell ref="E40:F40"/>
    <mergeCell ref="B35:C35"/>
    <mergeCell ref="E43:F43"/>
    <mergeCell ref="A24:A30"/>
    <mergeCell ref="B24:C24"/>
    <mergeCell ref="G32:G38"/>
    <mergeCell ref="B33:C33"/>
    <mergeCell ref="E41:F41"/>
    <mergeCell ref="B34:C34"/>
    <mergeCell ref="E42:F42"/>
    <mergeCell ref="E18:F18"/>
    <mergeCell ref="D24:D30"/>
    <mergeCell ref="E24:F24"/>
    <mergeCell ref="G24:G30"/>
    <mergeCell ref="B25:C25"/>
    <mergeCell ref="E25:F25"/>
    <mergeCell ref="B26:C26"/>
    <mergeCell ref="E26:F26"/>
    <mergeCell ref="B27:C27"/>
    <mergeCell ref="E27:F27"/>
    <mergeCell ref="A15:A22"/>
    <mergeCell ref="B15:C15"/>
    <mergeCell ref="D15:D22"/>
    <mergeCell ref="E15:F15"/>
    <mergeCell ref="G15:G22"/>
    <mergeCell ref="B16:C16"/>
    <mergeCell ref="E16:F16"/>
    <mergeCell ref="B17:C17"/>
    <mergeCell ref="E17:F17"/>
    <mergeCell ref="B18:C18"/>
    <mergeCell ref="D3:D13"/>
    <mergeCell ref="E3:F3"/>
    <mergeCell ref="G3:G13"/>
    <mergeCell ref="B4:C4"/>
    <mergeCell ref="E4:F4"/>
    <mergeCell ref="B5:C5"/>
    <mergeCell ref="E5:F5"/>
    <mergeCell ref="B6:C6"/>
    <mergeCell ref="E6:F6"/>
    <mergeCell ref="E32:F32"/>
    <mergeCell ref="E33:F33"/>
    <mergeCell ref="E34:F34"/>
    <mergeCell ref="E35:F35"/>
    <mergeCell ref="D32:D38"/>
    <mergeCell ref="A1:G1"/>
    <mergeCell ref="B2:C2"/>
    <mergeCell ref="E2:F2"/>
    <mergeCell ref="A3:A13"/>
    <mergeCell ref="B3:C3"/>
  </mergeCells>
  <printOptions/>
  <pageMargins left="0.3937007874015748" right="0.3937007874015748" top="0.73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18"/>
  <sheetViews>
    <sheetView zoomScale="110" zoomScaleNormal="110" workbookViewId="0" topLeftCell="A1">
      <selection activeCell="N12" sqref="N12"/>
    </sheetView>
  </sheetViews>
  <sheetFormatPr defaultColWidth="8.8515625" defaultRowHeight="15"/>
  <cols>
    <col min="1" max="1" width="6.28125" style="1139" customWidth="1"/>
    <col min="2" max="2" width="36.8515625" style="1139" customWidth="1"/>
    <col min="3" max="3" width="10.57421875" style="1139" customWidth="1"/>
    <col min="4" max="5" width="8.421875" style="1139" customWidth="1"/>
    <col min="6" max="6" width="9.8515625" style="1139" customWidth="1"/>
    <col min="7" max="7" width="10.140625" style="1139" customWidth="1"/>
    <col min="8" max="8" width="10.57421875" style="1139" customWidth="1"/>
    <col min="9" max="9" width="8.140625" style="1139" customWidth="1"/>
    <col min="10" max="10" width="7.8515625" style="1139" customWidth="1"/>
    <col min="11" max="11" width="10.140625" style="1139" customWidth="1"/>
    <col min="12" max="12" width="11.421875" style="1139" customWidth="1"/>
    <col min="13" max="13" width="8.8515625" style="1139" customWidth="1"/>
    <col min="14" max="14" width="14.140625" style="1139" customWidth="1"/>
    <col min="15" max="16384" width="8.8515625" style="1139" customWidth="1"/>
  </cols>
  <sheetData>
    <row r="1" spans="1:19" ht="21">
      <c r="A1" s="1221" t="s">
        <v>1565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N1" s="1222"/>
      <c r="O1" s="1222"/>
      <c r="P1" s="1222"/>
      <c r="Q1" s="1222"/>
      <c r="R1" s="1222"/>
      <c r="S1" s="1222"/>
    </row>
    <row r="2" spans="1:12" ht="21">
      <c r="A2" s="1140" t="s">
        <v>1071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</row>
    <row r="3" spans="1:12" ht="21" customHeight="1">
      <c r="A3" s="1223" t="s">
        <v>0</v>
      </c>
      <c r="B3" s="1223" t="s">
        <v>1533</v>
      </c>
      <c r="C3" s="1224" t="s">
        <v>1542</v>
      </c>
      <c r="D3" s="1225"/>
      <c r="E3" s="1225"/>
      <c r="F3" s="1225"/>
      <c r="G3" s="1226"/>
      <c r="H3" s="1223" t="s">
        <v>1543</v>
      </c>
      <c r="I3" s="1223"/>
      <c r="J3" s="1223"/>
      <c r="K3" s="1223"/>
      <c r="L3" s="1227" t="s">
        <v>1534</v>
      </c>
    </row>
    <row r="4" spans="1:12" ht="60.75">
      <c r="A4" s="1223"/>
      <c r="B4" s="1223"/>
      <c r="C4" s="1178" t="s">
        <v>1535</v>
      </c>
      <c r="D4" s="1178" t="s">
        <v>1544</v>
      </c>
      <c r="E4" s="1178" t="s">
        <v>1545</v>
      </c>
      <c r="F4" s="1178" t="s">
        <v>1546</v>
      </c>
      <c r="G4" s="1178" t="s">
        <v>4</v>
      </c>
      <c r="H4" s="1178" t="s">
        <v>1535</v>
      </c>
      <c r="I4" s="1178" t="s">
        <v>1544</v>
      </c>
      <c r="J4" s="1178" t="s">
        <v>1545</v>
      </c>
      <c r="K4" s="1178" t="s">
        <v>1546</v>
      </c>
      <c r="L4" s="1228"/>
    </row>
    <row r="5" spans="1:12" s="1145" customFormat="1" ht="51.75" customHeight="1">
      <c r="A5" s="1193">
        <v>1</v>
      </c>
      <c r="B5" s="1160" t="s">
        <v>1587</v>
      </c>
      <c r="C5" s="1171">
        <f>โครงประจำ!C10</f>
        <v>3800</v>
      </c>
      <c r="D5" s="1143"/>
      <c r="E5" s="1144"/>
      <c r="F5" s="1161"/>
      <c r="G5" s="1161">
        <f>SUM(C5:F5)</f>
        <v>3800</v>
      </c>
      <c r="H5" s="1161">
        <f>โครงประจำ!F10</f>
        <v>3800</v>
      </c>
      <c r="I5" s="1162"/>
      <c r="J5" s="1162"/>
      <c r="K5" s="1161"/>
      <c r="L5" s="1161">
        <f>SUM(H5:K5)</f>
        <v>3800</v>
      </c>
    </row>
    <row r="6" spans="1:14" s="1148" customFormat="1" ht="36" customHeight="1">
      <c r="A6" s="1146"/>
      <c r="B6" s="1147" t="s">
        <v>4</v>
      </c>
      <c r="C6" s="1147">
        <f>SUM(C5:C5)</f>
        <v>3800</v>
      </c>
      <c r="D6" s="1147"/>
      <c r="E6" s="1147"/>
      <c r="F6" s="1147"/>
      <c r="G6" s="1147">
        <f>SUM(C6:F6)</f>
        <v>3800</v>
      </c>
      <c r="H6" s="1147">
        <f>SUM(H5:H5)</f>
        <v>3800</v>
      </c>
      <c r="I6" s="1147"/>
      <c r="J6" s="1147"/>
      <c r="K6" s="1147"/>
      <c r="L6" s="1147">
        <f>SUM(H6:K6)</f>
        <v>3800</v>
      </c>
      <c r="N6" s="1154"/>
    </row>
    <row r="7" spans="1:14" s="1130" customFormat="1" ht="21">
      <c r="A7" s="1158"/>
      <c r="B7" s="1156"/>
      <c r="C7" s="1156"/>
      <c r="D7" s="1156"/>
      <c r="E7" s="1156"/>
      <c r="F7" s="1156"/>
      <c r="G7" s="1156"/>
      <c r="H7" s="1157"/>
      <c r="I7" s="1157"/>
      <c r="J7" s="1157"/>
      <c r="K7" s="1157"/>
      <c r="L7" s="1157"/>
      <c r="N7" s="1153"/>
    </row>
    <row r="8" spans="1:13" s="1138" customFormat="1" ht="13.5" customHeight="1">
      <c r="A8" s="1131"/>
      <c r="B8" s="1132"/>
      <c r="C8" s="1131"/>
      <c r="D8" s="1131"/>
      <c r="E8" s="1131"/>
      <c r="F8" s="1131"/>
      <c r="G8" s="1131"/>
      <c r="H8" s="1133"/>
      <c r="I8" s="1134"/>
      <c r="J8" s="1131"/>
      <c r="K8" s="1135"/>
      <c r="L8" s="1136"/>
      <c r="M8" s="1137"/>
    </row>
    <row r="9" spans="1:12" s="1150" customFormat="1" ht="18.75">
      <c r="A9" s="1149"/>
      <c r="C9" s="1229" t="s">
        <v>1536</v>
      </c>
      <c r="D9" s="1229"/>
      <c r="E9" s="1229"/>
      <c r="F9" s="1229"/>
      <c r="G9" s="1229"/>
      <c r="H9" s="1229"/>
      <c r="I9" s="1229"/>
      <c r="J9" s="1229"/>
      <c r="K9" s="1149"/>
      <c r="L9" s="1149"/>
    </row>
    <row r="10" spans="1:12" s="1150" customFormat="1" ht="18.75">
      <c r="A10" s="1149"/>
      <c r="C10" s="1229" t="s">
        <v>1550</v>
      </c>
      <c r="D10" s="1229"/>
      <c r="E10" s="1229"/>
      <c r="F10" s="1229"/>
      <c r="G10" s="1229"/>
      <c r="H10" s="1229"/>
      <c r="I10" s="1229"/>
      <c r="J10" s="1229"/>
      <c r="K10" s="1149"/>
      <c r="L10" s="1149"/>
    </row>
    <row r="11" spans="1:12" s="1150" customFormat="1" ht="18.75">
      <c r="A11" s="1149"/>
      <c r="C11" s="1229" t="s">
        <v>1539</v>
      </c>
      <c r="D11" s="1229"/>
      <c r="E11" s="1229"/>
      <c r="F11" s="1229"/>
      <c r="G11" s="1229"/>
      <c r="H11" s="1229"/>
      <c r="I11" s="1229"/>
      <c r="J11" s="1229"/>
      <c r="K11" s="1179"/>
      <c r="L11" s="1149"/>
    </row>
    <row r="12" spans="1:12" s="1150" customFormat="1" ht="18.75">
      <c r="A12" s="1149"/>
      <c r="B12" s="1149"/>
      <c r="C12" s="1149"/>
      <c r="D12" s="1149"/>
      <c r="E12" s="1149"/>
      <c r="F12" s="1149"/>
      <c r="G12" s="1149"/>
      <c r="H12" s="1149"/>
      <c r="I12" s="1149"/>
      <c r="J12" s="1149"/>
      <c r="K12" s="1149"/>
      <c r="L12" s="1149"/>
    </row>
    <row r="13" spans="1:12" s="1150" customFormat="1" ht="24" customHeight="1">
      <c r="A13" s="1149"/>
      <c r="C13" s="1229" t="s">
        <v>1537</v>
      </c>
      <c r="D13" s="1229"/>
      <c r="E13" s="1229"/>
      <c r="F13" s="1229"/>
      <c r="G13" s="1229"/>
      <c r="H13" s="1229"/>
      <c r="I13" s="1229"/>
      <c r="J13" s="1229"/>
      <c r="K13" s="1149"/>
      <c r="L13" s="1149"/>
    </row>
    <row r="14" spans="1:12" s="1150" customFormat="1" ht="18.75">
      <c r="A14" s="1149"/>
      <c r="C14" s="1229" t="s">
        <v>1551</v>
      </c>
      <c r="D14" s="1229"/>
      <c r="E14" s="1229"/>
      <c r="F14" s="1229"/>
      <c r="G14" s="1229"/>
      <c r="H14" s="1229"/>
      <c r="I14" s="1229"/>
      <c r="J14" s="1229"/>
      <c r="K14" s="1149"/>
      <c r="L14" s="1149"/>
    </row>
    <row r="15" spans="1:12" s="1150" customFormat="1" ht="18.75">
      <c r="A15" s="1149"/>
      <c r="C15" s="1229" t="s">
        <v>1540</v>
      </c>
      <c r="D15" s="1229"/>
      <c r="E15" s="1229"/>
      <c r="F15" s="1229"/>
      <c r="G15" s="1229"/>
      <c r="H15" s="1229"/>
      <c r="I15" s="1229"/>
      <c r="J15" s="1229"/>
      <c r="K15" s="1179"/>
      <c r="L15" s="1149"/>
    </row>
    <row r="16" spans="1:12" s="1150" customFormat="1" ht="18.75">
      <c r="A16" s="1149"/>
      <c r="B16" s="1149"/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</row>
    <row r="17" spans="1:12" s="1150" customFormat="1" ht="24" customHeight="1">
      <c r="A17" s="1149"/>
      <c r="C17" s="1229" t="s">
        <v>1538</v>
      </c>
      <c r="D17" s="1229"/>
      <c r="E17" s="1229"/>
      <c r="F17" s="1229"/>
      <c r="G17" s="1229"/>
      <c r="H17" s="1229"/>
      <c r="I17" s="1229"/>
      <c r="J17" s="1229"/>
      <c r="K17" s="1149"/>
      <c r="L17" s="1149"/>
    </row>
    <row r="18" spans="1:12" s="1150" customFormat="1" ht="18.75">
      <c r="A18" s="1149"/>
      <c r="B18" s="1152"/>
      <c r="C18" s="1229"/>
      <c r="D18" s="1229"/>
      <c r="E18" s="1229"/>
      <c r="F18" s="1229"/>
      <c r="G18" s="1229"/>
      <c r="H18" s="1229"/>
      <c r="I18" s="1229"/>
      <c r="J18" s="1229"/>
      <c r="K18" s="1149"/>
      <c r="L18" s="1149"/>
    </row>
    <row r="19" s="1150" customFormat="1" ht="18.75"/>
  </sheetData>
  <sheetProtection/>
  <mergeCells count="15">
    <mergeCell ref="A1:L1"/>
    <mergeCell ref="N1:S1"/>
    <mergeCell ref="A3:A4"/>
    <mergeCell ref="B3:B4"/>
    <mergeCell ref="C3:G3"/>
    <mergeCell ref="H3:K3"/>
    <mergeCell ref="L3:L4"/>
    <mergeCell ref="C17:J17"/>
    <mergeCell ref="C18:J18"/>
    <mergeCell ref="C9:J9"/>
    <mergeCell ref="C10:J10"/>
    <mergeCell ref="C11:J11"/>
    <mergeCell ref="C13:J13"/>
    <mergeCell ref="C14:J14"/>
    <mergeCell ref="C15:J15"/>
  </mergeCells>
  <printOptions/>
  <pageMargins left="0.3937007874015748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zoomScale="110" zoomScaleNormal="110" zoomScalePageLayoutView="0" workbookViewId="0" topLeftCell="A1">
      <selection activeCell="E14" sqref="E14"/>
    </sheetView>
  </sheetViews>
  <sheetFormatPr defaultColWidth="8.8515625" defaultRowHeight="15"/>
  <cols>
    <col min="1" max="1" width="5.28125" style="1128" customWidth="1"/>
    <col min="2" max="2" width="57.140625" style="1124" customWidth="1"/>
    <col min="3" max="3" width="14.28125" style="1189" customWidth="1"/>
    <col min="4" max="4" width="5.140625" style="1126" customWidth="1"/>
    <col min="5" max="5" width="57.57421875" style="9" customWidth="1"/>
    <col min="6" max="6" width="15.57421875" style="1190" customWidth="1"/>
    <col min="7" max="7" width="8.421875" style="9" customWidth="1"/>
    <col min="8" max="16384" width="8.8515625" style="9" customWidth="1"/>
  </cols>
  <sheetData>
    <row r="1" spans="1:7" s="1170" customFormat="1" ht="28.5" customHeight="1">
      <c r="A1" s="1233" t="s">
        <v>1588</v>
      </c>
      <c r="B1" s="1233"/>
      <c r="C1" s="1233"/>
      <c r="D1" s="1233"/>
      <c r="E1" s="1233"/>
      <c r="F1" s="1233"/>
      <c r="G1" s="1233"/>
    </row>
    <row r="2" spans="1:7" s="1164" customFormat="1" ht="27.75" customHeight="1">
      <c r="A2" s="1125" t="s">
        <v>0</v>
      </c>
      <c r="B2" s="1234" t="s">
        <v>1541</v>
      </c>
      <c r="C2" s="1235"/>
      <c r="D2" s="1192" t="s">
        <v>0</v>
      </c>
      <c r="E2" s="1236" t="s">
        <v>1547</v>
      </c>
      <c r="F2" s="1237"/>
      <c r="G2" s="1192" t="s">
        <v>1548</v>
      </c>
    </row>
    <row r="3" spans="1:9" ht="30" customHeight="1">
      <c r="A3" s="1238">
        <v>1</v>
      </c>
      <c r="B3" s="1230" t="s">
        <v>1575</v>
      </c>
      <c r="C3" s="1230"/>
      <c r="D3" s="1240">
        <v>1</v>
      </c>
      <c r="E3" s="1230" t="s">
        <v>1576</v>
      </c>
      <c r="F3" s="1230"/>
      <c r="G3" s="1240"/>
      <c r="I3" s="1129"/>
    </row>
    <row r="4" spans="1:7" ht="42" customHeight="1">
      <c r="A4" s="1239"/>
      <c r="B4" s="1230" t="s">
        <v>1577</v>
      </c>
      <c r="C4" s="1230"/>
      <c r="D4" s="1241"/>
      <c r="E4" s="1230" t="s">
        <v>1577</v>
      </c>
      <c r="F4" s="1230"/>
      <c r="G4" s="1241"/>
    </row>
    <row r="5" spans="1:7" ht="20.25">
      <c r="A5" s="1239"/>
      <c r="B5" s="1231" t="s">
        <v>1552</v>
      </c>
      <c r="C5" s="1231"/>
      <c r="D5" s="1241"/>
      <c r="E5" s="1231" t="s">
        <v>1552</v>
      </c>
      <c r="F5" s="1231"/>
      <c r="G5" s="1241"/>
    </row>
    <row r="6" spans="1:7" ht="20.25">
      <c r="A6" s="1239"/>
      <c r="B6" s="1231" t="s">
        <v>1590</v>
      </c>
      <c r="C6" s="1231"/>
      <c r="D6" s="1241"/>
      <c r="E6" s="1231" t="s">
        <v>1589</v>
      </c>
      <c r="F6" s="1231"/>
      <c r="G6" s="1241"/>
    </row>
    <row r="7" spans="1:7" s="1164" customFormat="1" ht="30.75" customHeight="1">
      <c r="A7" s="1239"/>
      <c r="B7" s="1166" t="s">
        <v>52</v>
      </c>
      <c r="C7" s="1181" t="s">
        <v>1549</v>
      </c>
      <c r="D7" s="1241"/>
      <c r="E7" s="1166" t="s">
        <v>52</v>
      </c>
      <c r="F7" s="1181" t="s">
        <v>1549</v>
      </c>
      <c r="G7" s="1241"/>
    </row>
    <row r="8" spans="1:7" s="1165" customFormat="1" ht="30" customHeight="1">
      <c r="A8" s="1239"/>
      <c r="B8" s="1180" t="s">
        <v>1578</v>
      </c>
      <c r="C8" s="1187">
        <f>40*2*35</f>
        <v>2800</v>
      </c>
      <c r="D8" s="1241"/>
      <c r="E8" s="1180" t="s">
        <v>1578</v>
      </c>
      <c r="F8" s="1187">
        <f>40*2*35</f>
        <v>2800</v>
      </c>
      <c r="G8" s="1241"/>
    </row>
    <row r="9" spans="1:7" s="1165" customFormat="1" ht="28.5" customHeight="1">
      <c r="A9" s="1239"/>
      <c r="B9" s="1180" t="s">
        <v>1579</v>
      </c>
      <c r="C9" s="1188">
        <v>1000</v>
      </c>
      <c r="D9" s="1241"/>
      <c r="E9" s="1180" t="s">
        <v>1579</v>
      </c>
      <c r="F9" s="1188">
        <v>1000</v>
      </c>
      <c r="G9" s="1241"/>
    </row>
    <row r="10" spans="1:7" s="1164" customFormat="1" ht="28.5" customHeight="1">
      <c r="A10" s="1166"/>
      <c r="B10" s="1167" t="s">
        <v>1065</v>
      </c>
      <c r="C10" s="1184">
        <f>SUM(C8:C9)</f>
        <v>3800</v>
      </c>
      <c r="D10" s="1127"/>
      <c r="E10" s="1168" t="s">
        <v>1065</v>
      </c>
      <c r="F10" s="1184">
        <f>SUM(F8:F9)</f>
        <v>3800</v>
      </c>
      <c r="G10" s="1169"/>
    </row>
  </sheetData>
  <sheetProtection/>
  <mergeCells count="14">
    <mergeCell ref="B6:C6"/>
    <mergeCell ref="A1:G1"/>
    <mergeCell ref="B2:C2"/>
    <mergeCell ref="E2:F2"/>
    <mergeCell ref="E6:F6"/>
    <mergeCell ref="A3:A9"/>
    <mergeCell ref="B3:C3"/>
    <mergeCell ref="D3:D9"/>
    <mergeCell ref="E3:F3"/>
    <mergeCell ref="G3:G9"/>
    <mergeCell ref="B4:C4"/>
    <mergeCell ref="E4:F4"/>
    <mergeCell ref="B5:C5"/>
    <mergeCell ref="E5:F5"/>
  </mergeCells>
  <printOptions/>
  <pageMargins left="0.3937007874015748" right="0.3937007874015748" top="0.73" bottom="0.196850393700787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SheetLayoutView="110" zoomScalePageLayoutView="0" workbookViewId="0" topLeftCell="A4">
      <pane xSplit="4" ySplit="3" topLeftCell="H35" activePane="bottomRight" state="frozen"/>
      <selection pane="topLeft" activeCell="H2" sqref="H1:U16384"/>
      <selection pane="topRight" activeCell="H2" sqref="H1:U16384"/>
      <selection pane="bottomLeft" activeCell="H2" sqref="H1:U16384"/>
      <selection pane="bottomRight" activeCell="H2" sqref="H1:U16384"/>
    </sheetView>
  </sheetViews>
  <sheetFormatPr defaultColWidth="9.00390625" defaultRowHeight="15"/>
  <cols>
    <col min="1" max="5" width="22.57421875" style="74" customWidth="1"/>
    <col min="6" max="6" width="8.140625" style="74" customWidth="1"/>
    <col min="7" max="7" width="10.140625" style="74" customWidth="1"/>
    <col min="8" max="8" width="10.421875" style="74" customWidth="1"/>
    <col min="9" max="20" width="4.00390625" style="74" customWidth="1"/>
    <col min="21" max="21" width="5.57421875" style="74" customWidth="1"/>
    <col min="22" max="16384" width="9.00390625" style="74" customWidth="1"/>
  </cols>
  <sheetData>
    <row r="1" spans="1:21" s="275" customFormat="1" ht="24">
      <c r="A1" s="1309" t="s">
        <v>41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5" s="275" customFormat="1" ht="24">
      <c r="A2" s="1310" t="s">
        <v>42</v>
      </c>
      <c r="B2" s="1310"/>
      <c r="C2" s="1310"/>
      <c r="D2" s="1310"/>
      <c r="E2" s="236"/>
    </row>
    <row r="3" spans="1:5" s="275" customFormat="1" ht="24">
      <c r="A3" s="1310" t="s">
        <v>43</v>
      </c>
      <c r="B3" s="1310"/>
      <c r="C3" s="1310"/>
      <c r="D3" s="1310"/>
      <c r="E3" s="236"/>
    </row>
    <row r="4" spans="1:21" ht="21.75">
      <c r="A4" s="1299" t="s">
        <v>44</v>
      </c>
      <c r="B4" s="1299" t="s">
        <v>45</v>
      </c>
      <c r="C4" s="1299" t="s">
        <v>46</v>
      </c>
      <c r="D4" s="1299" t="s">
        <v>47</v>
      </c>
      <c r="E4" s="1299" t="s">
        <v>48</v>
      </c>
      <c r="F4" s="1299"/>
      <c r="G4" s="1299"/>
      <c r="H4" s="1299" t="s">
        <v>49</v>
      </c>
      <c r="I4" s="1299" t="s">
        <v>50</v>
      </c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299" t="s">
        <v>51</v>
      </c>
    </row>
    <row r="5" spans="1:21" ht="18.75">
      <c r="A5" s="1299"/>
      <c r="B5" s="1299"/>
      <c r="C5" s="1299"/>
      <c r="D5" s="1299"/>
      <c r="E5" s="1299" t="s">
        <v>52</v>
      </c>
      <c r="F5" s="1311" t="s">
        <v>53</v>
      </c>
      <c r="G5" s="1311" t="s">
        <v>54</v>
      </c>
      <c r="H5" s="1299"/>
      <c r="I5" s="1299" t="s">
        <v>55</v>
      </c>
      <c r="J5" s="1299" t="s">
        <v>56</v>
      </c>
      <c r="K5" s="1299" t="s">
        <v>57</v>
      </c>
      <c r="L5" s="1299" t="s">
        <v>58</v>
      </c>
      <c r="M5" s="1299" t="s">
        <v>59</v>
      </c>
      <c r="N5" s="1299" t="s">
        <v>60</v>
      </c>
      <c r="O5" s="1299" t="s">
        <v>61</v>
      </c>
      <c r="P5" s="1299" t="s">
        <v>62</v>
      </c>
      <c r="Q5" s="1299" t="s">
        <v>63</v>
      </c>
      <c r="R5" s="1299" t="s">
        <v>64</v>
      </c>
      <c r="S5" s="1299" t="s">
        <v>65</v>
      </c>
      <c r="T5" s="1299" t="s">
        <v>66</v>
      </c>
      <c r="U5" s="1299"/>
    </row>
    <row r="6" spans="1:21" ht="18.75">
      <c r="A6" s="1299"/>
      <c r="B6" s="1299"/>
      <c r="C6" s="1299"/>
      <c r="D6" s="1299"/>
      <c r="E6" s="1299"/>
      <c r="F6" s="1311"/>
      <c r="G6" s="1311"/>
      <c r="H6" s="1299"/>
      <c r="I6" s="1299"/>
      <c r="J6" s="1299"/>
      <c r="K6" s="1299"/>
      <c r="L6" s="1299"/>
      <c r="M6" s="1299"/>
      <c r="N6" s="1299"/>
      <c r="O6" s="1299"/>
      <c r="P6" s="1299"/>
      <c r="Q6" s="1299"/>
      <c r="R6" s="1299"/>
      <c r="S6" s="1299"/>
      <c r="T6" s="1299"/>
      <c r="U6" s="1299"/>
    </row>
    <row r="7" spans="1:21" s="29" customFormat="1" ht="131.25">
      <c r="A7" s="238" t="s">
        <v>67</v>
      </c>
      <c r="B7" s="240" t="s">
        <v>68</v>
      </c>
      <c r="C7" s="241" t="s">
        <v>69</v>
      </c>
      <c r="D7" s="240" t="s">
        <v>70</v>
      </c>
      <c r="E7" s="347"/>
      <c r="F7" s="347"/>
      <c r="G7" s="314"/>
      <c r="H7" s="310" t="s">
        <v>71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332" t="s">
        <v>72</v>
      </c>
    </row>
    <row r="8" spans="1:21" s="29" customFormat="1" ht="93.75">
      <c r="A8" s="1286" t="s">
        <v>73</v>
      </c>
      <c r="B8" s="1289" t="s">
        <v>68</v>
      </c>
      <c r="C8" s="1289" t="s">
        <v>74</v>
      </c>
      <c r="D8" s="1289" t="s">
        <v>75</v>
      </c>
      <c r="E8" s="202" t="s">
        <v>76</v>
      </c>
      <c r="F8" s="203">
        <f>70*20*3</f>
        <v>4200</v>
      </c>
      <c r="G8" s="314" t="s">
        <v>77</v>
      </c>
      <c r="H8" s="310" t="s">
        <v>1420</v>
      </c>
      <c r="I8" s="289"/>
      <c r="J8" s="289"/>
      <c r="K8" s="315">
        <v>1400</v>
      </c>
      <c r="L8" s="315"/>
      <c r="M8" s="315"/>
      <c r="N8" s="315"/>
      <c r="O8" s="315">
        <v>1400</v>
      </c>
      <c r="P8" s="315"/>
      <c r="Q8" s="315"/>
      <c r="R8" s="315"/>
      <c r="S8" s="315">
        <v>1400</v>
      </c>
      <c r="T8" s="289"/>
      <c r="U8" s="332" t="s">
        <v>72</v>
      </c>
    </row>
    <row r="9" spans="1:21" s="29" customFormat="1" ht="18.75">
      <c r="A9" s="1287"/>
      <c r="B9" s="1290"/>
      <c r="C9" s="1290"/>
      <c r="D9" s="1290"/>
      <c r="E9" s="279" t="s">
        <v>4</v>
      </c>
      <c r="F9" s="280">
        <f>SUM(F8:F8)</f>
        <v>4200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18.75">
      <c r="A10" s="1288"/>
      <c r="B10" s="1291"/>
      <c r="C10" s="1291"/>
      <c r="D10" s="1291"/>
      <c r="E10" s="348"/>
      <c r="F10" s="321"/>
      <c r="G10" s="284"/>
      <c r="H10" s="284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21" s="29" customFormat="1" ht="93.75">
      <c r="A11" s="240" t="s">
        <v>78</v>
      </c>
      <c r="B11" s="240" t="s">
        <v>79</v>
      </c>
      <c r="C11" s="240" t="s">
        <v>80</v>
      </c>
      <c r="D11" s="240" t="s">
        <v>81</v>
      </c>
      <c r="E11" s="202"/>
      <c r="F11" s="203"/>
      <c r="G11" s="308"/>
      <c r="H11" s="304" t="s">
        <v>82</v>
      </c>
      <c r="I11" s="68"/>
      <c r="J11" s="68"/>
      <c r="K11" s="305"/>
      <c r="L11" s="68"/>
      <c r="M11" s="68"/>
      <c r="N11" s="68"/>
      <c r="O11" s="68"/>
      <c r="P11" s="68"/>
      <c r="Q11" s="68"/>
      <c r="R11" s="305"/>
      <c r="S11" s="68"/>
      <c r="T11" s="68"/>
      <c r="U11" s="309" t="s">
        <v>83</v>
      </c>
    </row>
    <row r="12" spans="1:21" s="29" customFormat="1" ht="18.75">
      <c r="A12" s="238" t="s">
        <v>84</v>
      </c>
      <c r="B12" s="238"/>
      <c r="C12" s="238"/>
      <c r="D12" s="238"/>
      <c r="E12" s="202"/>
      <c r="F12" s="341"/>
      <c r="G12" s="314"/>
      <c r="H12" s="310"/>
      <c r="I12" s="285"/>
      <c r="J12" s="285"/>
      <c r="K12" s="289"/>
      <c r="L12" s="285"/>
      <c r="M12" s="285"/>
      <c r="N12" s="285"/>
      <c r="O12" s="285"/>
      <c r="P12" s="285"/>
      <c r="Q12" s="285"/>
      <c r="R12" s="289"/>
      <c r="S12" s="285"/>
      <c r="T12" s="285"/>
      <c r="U12" s="332"/>
    </row>
    <row r="13" spans="1:21" ht="56.25">
      <c r="A13" s="1289" t="s">
        <v>85</v>
      </c>
      <c r="B13" s="1289" t="s">
        <v>86</v>
      </c>
      <c r="C13" s="1289" t="s">
        <v>87</v>
      </c>
      <c r="D13" s="1289" t="s">
        <v>88</v>
      </c>
      <c r="E13" s="202" t="s">
        <v>89</v>
      </c>
      <c r="F13" s="349">
        <v>2240</v>
      </c>
      <c r="G13" s="1261" t="s">
        <v>77</v>
      </c>
      <c r="H13" s="1296" t="s">
        <v>90</v>
      </c>
      <c r="I13" s="1279"/>
      <c r="J13" s="1279"/>
      <c r="K13" s="1279"/>
      <c r="L13" s="1279"/>
      <c r="M13" s="1279"/>
      <c r="N13" s="1279"/>
      <c r="O13" s="1279"/>
      <c r="P13" s="1279">
        <v>1680</v>
      </c>
      <c r="Q13" s="1279"/>
      <c r="R13" s="1279"/>
      <c r="S13" s="1279">
        <v>1680</v>
      </c>
      <c r="T13" s="1279"/>
      <c r="U13" s="1303" t="s">
        <v>91</v>
      </c>
    </row>
    <row r="14" spans="1:21" ht="56.25">
      <c r="A14" s="1290"/>
      <c r="B14" s="1290"/>
      <c r="C14" s="1290"/>
      <c r="D14" s="1290"/>
      <c r="E14" s="202" t="s">
        <v>92</v>
      </c>
      <c r="F14" s="350">
        <v>1120</v>
      </c>
      <c r="G14" s="1262"/>
      <c r="H14" s="1297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304"/>
    </row>
    <row r="15" spans="1:21" ht="18.75">
      <c r="A15" s="1291"/>
      <c r="B15" s="1291"/>
      <c r="C15" s="1291"/>
      <c r="D15" s="1291"/>
      <c r="E15" s="279" t="s">
        <v>4</v>
      </c>
      <c r="F15" s="280">
        <f>SUM(F11:F14)</f>
        <v>3360</v>
      </c>
      <c r="G15" s="311"/>
      <c r="H15" s="1298"/>
      <c r="I15" s="1281"/>
      <c r="J15" s="1281"/>
      <c r="K15" s="1281"/>
      <c r="L15" s="1281"/>
      <c r="M15" s="1281"/>
      <c r="N15" s="1281"/>
      <c r="O15" s="1281"/>
      <c r="P15" s="1281"/>
      <c r="Q15" s="1281"/>
      <c r="R15" s="1281"/>
      <c r="S15" s="1281"/>
      <c r="T15" s="1281"/>
      <c r="U15" s="1305"/>
    </row>
    <row r="16" spans="1:21" s="29" customFormat="1" ht="37.5">
      <c r="A16" s="1306" t="s">
        <v>93</v>
      </c>
      <c r="B16" s="1292" t="s">
        <v>94</v>
      </c>
      <c r="C16" s="1306" t="s">
        <v>95</v>
      </c>
      <c r="D16" s="1292" t="s">
        <v>88</v>
      </c>
      <c r="E16" s="202" t="s">
        <v>96</v>
      </c>
      <c r="F16" s="203">
        <v>15120</v>
      </c>
      <c r="G16" s="1261" t="s">
        <v>77</v>
      </c>
      <c r="H16" s="1300" t="s">
        <v>97</v>
      </c>
      <c r="I16" s="1279"/>
      <c r="J16" s="1279"/>
      <c r="K16" s="1279"/>
      <c r="L16" s="1279"/>
      <c r="M16" s="1279"/>
      <c r="N16" s="1279"/>
      <c r="O16" s="1279"/>
      <c r="P16" s="1279"/>
      <c r="Q16" s="1279">
        <v>16080</v>
      </c>
      <c r="R16" s="1279">
        <v>8040</v>
      </c>
      <c r="S16" s="1279"/>
      <c r="T16" s="1279"/>
      <c r="U16" s="1276" t="s">
        <v>91</v>
      </c>
    </row>
    <row r="17" spans="1:21" s="29" customFormat="1" ht="18.75">
      <c r="A17" s="1307"/>
      <c r="B17" s="1292"/>
      <c r="C17" s="1307"/>
      <c r="D17" s="1292"/>
      <c r="E17" s="210" t="s">
        <v>98</v>
      </c>
      <c r="F17" s="203">
        <v>9000</v>
      </c>
      <c r="G17" s="1262"/>
      <c r="H17" s="1301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77"/>
    </row>
    <row r="18" spans="1:21" s="29" customFormat="1" ht="18.75">
      <c r="A18" s="1308"/>
      <c r="B18" s="1292"/>
      <c r="C18" s="1308"/>
      <c r="D18" s="1292"/>
      <c r="E18" s="279" t="s">
        <v>4</v>
      </c>
      <c r="F18" s="280">
        <f>SUM(F16:F17)</f>
        <v>24120</v>
      </c>
      <c r="G18" s="281"/>
      <c r="H18" s="1302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78"/>
    </row>
    <row r="19" spans="1:21" s="29" customFormat="1" ht="37.5">
      <c r="A19" s="1286" t="s">
        <v>99</v>
      </c>
      <c r="B19" s="1289" t="s">
        <v>100</v>
      </c>
      <c r="C19" s="1289" t="s">
        <v>101</v>
      </c>
      <c r="D19" s="1292" t="s">
        <v>102</v>
      </c>
      <c r="E19" s="202" t="s">
        <v>103</v>
      </c>
      <c r="F19" s="203">
        <v>6000</v>
      </c>
      <c r="G19" s="1261" t="s">
        <v>77</v>
      </c>
      <c r="H19" s="1293" t="s">
        <v>104</v>
      </c>
      <c r="I19" s="1279"/>
      <c r="J19" s="1279"/>
      <c r="K19" s="1279"/>
      <c r="L19" s="1279">
        <v>2000</v>
      </c>
      <c r="M19" s="1279">
        <v>2000</v>
      </c>
      <c r="N19" s="1279">
        <v>2000</v>
      </c>
      <c r="O19" s="1279">
        <v>2000</v>
      </c>
      <c r="P19" s="1279">
        <v>2000</v>
      </c>
      <c r="Q19" s="1279"/>
      <c r="R19" s="1279"/>
      <c r="S19" s="1279"/>
      <c r="T19" s="1279"/>
      <c r="U19" s="1276" t="s">
        <v>91</v>
      </c>
    </row>
    <row r="20" spans="1:21" s="29" customFormat="1" ht="18.75">
      <c r="A20" s="1287"/>
      <c r="B20" s="1290"/>
      <c r="C20" s="1290"/>
      <c r="D20" s="1292"/>
      <c r="E20" s="210" t="s">
        <v>105</v>
      </c>
      <c r="F20" s="203">
        <v>4000</v>
      </c>
      <c r="G20" s="1262"/>
      <c r="H20" s="1294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77"/>
    </row>
    <row r="21" spans="1:21" s="29" customFormat="1" ht="18.75">
      <c r="A21" s="1288"/>
      <c r="B21" s="1291"/>
      <c r="C21" s="1291"/>
      <c r="D21" s="1292"/>
      <c r="E21" s="279" t="s">
        <v>4</v>
      </c>
      <c r="F21" s="280">
        <f>SUM(F19:F20)</f>
        <v>10000</v>
      </c>
      <c r="G21" s="281"/>
      <c r="H21" s="1295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78"/>
    </row>
    <row r="22" spans="1:21" s="29" customFormat="1" ht="37.5">
      <c r="A22" s="240" t="s">
        <v>106</v>
      </c>
      <c r="B22" s="240"/>
      <c r="C22" s="240"/>
      <c r="D22" s="240"/>
      <c r="E22" s="202"/>
      <c r="F22" s="203"/>
      <c r="G22" s="277"/>
      <c r="H22" s="288"/>
      <c r="I22" s="285"/>
      <c r="J22" s="285"/>
      <c r="K22" s="289"/>
      <c r="L22" s="285"/>
      <c r="M22" s="285"/>
      <c r="N22" s="285"/>
      <c r="O22" s="285"/>
      <c r="P22" s="285"/>
      <c r="Q22" s="285"/>
      <c r="R22" s="289"/>
      <c r="S22" s="285"/>
      <c r="T22" s="285"/>
      <c r="U22" s="1276" t="s">
        <v>91</v>
      </c>
    </row>
    <row r="23" spans="1:21" s="29" customFormat="1" ht="56.25">
      <c r="A23" s="240" t="s">
        <v>107</v>
      </c>
      <c r="B23" s="240" t="s">
        <v>108</v>
      </c>
      <c r="C23" s="319" t="s">
        <v>109</v>
      </c>
      <c r="D23" s="319" t="s">
        <v>110</v>
      </c>
      <c r="E23" s="320"/>
      <c r="F23" s="321"/>
      <c r="G23" s="277"/>
      <c r="H23" s="288"/>
      <c r="I23" s="285"/>
      <c r="J23" s="285"/>
      <c r="K23" s="289"/>
      <c r="L23" s="285"/>
      <c r="M23" s="285"/>
      <c r="N23" s="285"/>
      <c r="O23" s="285"/>
      <c r="P23" s="285"/>
      <c r="Q23" s="285"/>
      <c r="R23" s="289"/>
      <c r="S23" s="285"/>
      <c r="T23" s="285"/>
      <c r="U23" s="1278"/>
    </row>
    <row r="24" spans="1:21" s="29" customFormat="1" ht="37.5">
      <c r="A24" s="238" t="s">
        <v>111</v>
      </c>
      <c r="B24" s="240"/>
      <c r="C24" s="239"/>
      <c r="D24" s="239"/>
      <c r="E24" s="320"/>
      <c r="F24" s="203"/>
      <c r="G24" s="277"/>
      <c r="H24" s="288"/>
      <c r="I24" s="285"/>
      <c r="J24" s="285"/>
      <c r="K24" s="289"/>
      <c r="L24" s="285"/>
      <c r="M24" s="285"/>
      <c r="N24" s="285"/>
      <c r="O24" s="285"/>
      <c r="P24" s="285"/>
      <c r="Q24" s="285"/>
      <c r="R24" s="289"/>
      <c r="S24" s="285"/>
      <c r="T24" s="285"/>
      <c r="U24" s="332"/>
    </row>
    <row r="25" spans="1:21" s="29" customFormat="1" ht="75">
      <c r="A25" s="240" t="s">
        <v>112</v>
      </c>
      <c r="B25" s="240" t="s">
        <v>113</v>
      </c>
      <c r="C25" s="240" t="s">
        <v>114</v>
      </c>
      <c r="D25" s="240" t="s">
        <v>110</v>
      </c>
      <c r="E25" s="320"/>
      <c r="F25" s="203"/>
      <c r="G25" s="308"/>
      <c r="H25" s="304"/>
      <c r="I25" s="68"/>
      <c r="J25" s="68"/>
      <c r="K25" s="305"/>
      <c r="L25" s="68"/>
      <c r="M25" s="68"/>
      <c r="N25" s="68"/>
      <c r="O25" s="68"/>
      <c r="P25" s="68"/>
      <c r="Q25" s="68"/>
      <c r="R25" s="305"/>
      <c r="S25" s="68"/>
      <c r="T25" s="68"/>
      <c r="U25" s="309"/>
    </row>
    <row r="26" spans="1:21" s="29" customFormat="1" ht="75">
      <c r="A26" s="238" t="s">
        <v>115</v>
      </c>
      <c r="B26" s="240" t="s">
        <v>116</v>
      </c>
      <c r="C26" s="239" t="s">
        <v>117</v>
      </c>
      <c r="D26" s="239" t="s">
        <v>110</v>
      </c>
      <c r="E26" s="320"/>
      <c r="F26" s="203"/>
      <c r="G26" s="277"/>
      <c r="H26" s="288"/>
      <c r="I26" s="285"/>
      <c r="J26" s="285"/>
      <c r="K26" s="289"/>
      <c r="L26" s="285"/>
      <c r="M26" s="285"/>
      <c r="N26" s="285"/>
      <c r="O26" s="285"/>
      <c r="P26" s="285"/>
      <c r="Q26" s="285"/>
      <c r="R26" s="289"/>
      <c r="S26" s="285"/>
      <c r="T26" s="285"/>
      <c r="U26" s="332"/>
    </row>
    <row r="27" spans="1:21" s="29" customFormat="1" ht="37.5">
      <c r="A27" s="238" t="s">
        <v>118</v>
      </c>
      <c r="B27" s="240"/>
      <c r="C27" s="239"/>
      <c r="D27" s="239"/>
      <c r="E27" s="320"/>
      <c r="F27" s="203"/>
      <c r="G27" s="277"/>
      <c r="H27" s="288"/>
      <c r="I27" s="285"/>
      <c r="J27" s="285"/>
      <c r="K27" s="289"/>
      <c r="L27" s="285"/>
      <c r="M27" s="285"/>
      <c r="N27" s="285"/>
      <c r="O27" s="285"/>
      <c r="P27" s="285"/>
      <c r="Q27" s="285"/>
      <c r="R27" s="289"/>
      <c r="S27" s="285"/>
      <c r="T27" s="285"/>
      <c r="U27" s="332"/>
    </row>
    <row r="28" spans="1:21" s="29" customFormat="1" ht="75">
      <c r="A28" s="238" t="s">
        <v>119</v>
      </c>
      <c r="B28" s="240" t="s">
        <v>120</v>
      </c>
      <c r="C28" s="239"/>
      <c r="D28" s="239" t="s">
        <v>121</v>
      </c>
      <c r="E28" s="320"/>
      <c r="F28" s="203"/>
      <c r="G28" s="277"/>
      <c r="H28" s="351">
        <v>22555</v>
      </c>
      <c r="I28" s="285"/>
      <c r="J28" s="285"/>
      <c r="K28" s="289"/>
      <c r="L28" s="285"/>
      <c r="M28" s="285"/>
      <c r="N28" s="285"/>
      <c r="O28" s="285"/>
      <c r="P28" s="285"/>
      <c r="Q28" s="285"/>
      <c r="R28" s="289"/>
      <c r="S28" s="285"/>
      <c r="T28" s="285"/>
      <c r="U28" s="332"/>
    </row>
    <row r="29" spans="1:21" s="29" customFormat="1" ht="75">
      <c r="A29" s="238" t="s">
        <v>122</v>
      </c>
      <c r="B29" s="240" t="s">
        <v>123</v>
      </c>
      <c r="C29" s="240" t="s">
        <v>124</v>
      </c>
      <c r="D29" s="239" t="s">
        <v>121</v>
      </c>
      <c r="E29" s="320"/>
      <c r="F29" s="203"/>
      <c r="G29" s="277"/>
      <c r="H29" s="351">
        <v>22890</v>
      </c>
      <c r="I29" s="285"/>
      <c r="J29" s="285"/>
      <c r="K29" s="289"/>
      <c r="L29" s="285"/>
      <c r="M29" s="285"/>
      <c r="N29" s="285"/>
      <c r="O29" s="285"/>
      <c r="P29" s="285"/>
      <c r="Q29" s="285"/>
      <c r="R29" s="289"/>
      <c r="S29" s="285"/>
      <c r="T29" s="285"/>
      <c r="U29" s="332"/>
    </row>
    <row r="30" spans="1:21" s="29" customFormat="1" ht="56.25">
      <c r="A30" s="1258" t="s">
        <v>125</v>
      </c>
      <c r="B30" s="1257" t="s">
        <v>126</v>
      </c>
      <c r="C30" s="1257" t="s">
        <v>127</v>
      </c>
      <c r="D30" s="1257" t="s">
        <v>128</v>
      </c>
      <c r="E30" s="240" t="s">
        <v>129</v>
      </c>
      <c r="F30" s="352">
        <f>5*20*13*2</f>
        <v>2600</v>
      </c>
      <c r="G30" s="1261" t="s">
        <v>77</v>
      </c>
      <c r="H30" s="1283">
        <v>22494</v>
      </c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72">
        <f>+F30+F31+F32</f>
        <v>10000</v>
      </c>
      <c r="T30" s="1266"/>
      <c r="U30" s="1276" t="s">
        <v>72</v>
      </c>
    </row>
    <row r="31" spans="1:21" s="60" customFormat="1" ht="56.25">
      <c r="A31" s="1259"/>
      <c r="B31" s="1257"/>
      <c r="C31" s="1257"/>
      <c r="D31" s="1257"/>
      <c r="E31" s="240" t="s">
        <v>130</v>
      </c>
      <c r="F31" s="352">
        <f>5*80*13</f>
        <v>5200</v>
      </c>
      <c r="G31" s="1262"/>
      <c r="H31" s="1284"/>
      <c r="I31" s="1267"/>
      <c r="J31" s="1267"/>
      <c r="K31" s="1267"/>
      <c r="L31" s="1267"/>
      <c r="M31" s="1267"/>
      <c r="N31" s="1267"/>
      <c r="O31" s="1267"/>
      <c r="P31" s="1267"/>
      <c r="Q31" s="1267"/>
      <c r="R31" s="1267"/>
      <c r="S31" s="1273"/>
      <c r="T31" s="1267"/>
      <c r="U31" s="1277"/>
    </row>
    <row r="32" spans="1:21" s="60" customFormat="1" ht="18.75">
      <c r="A32" s="1259"/>
      <c r="B32" s="1257"/>
      <c r="C32" s="1257"/>
      <c r="D32" s="1257"/>
      <c r="E32" s="240" t="s">
        <v>131</v>
      </c>
      <c r="F32" s="352">
        <v>2200</v>
      </c>
      <c r="G32" s="1262"/>
      <c r="H32" s="1284"/>
      <c r="I32" s="1267"/>
      <c r="J32" s="1267"/>
      <c r="K32" s="1267"/>
      <c r="L32" s="1267"/>
      <c r="M32" s="1267"/>
      <c r="N32" s="1267"/>
      <c r="O32" s="1267"/>
      <c r="P32" s="1267"/>
      <c r="Q32" s="1267"/>
      <c r="R32" s="1267"/>
      <c r="S32" s="1273"/>
      <c r="T32" s="1267"/>
      <c r="U32" s="1277"/>
    </row>
    <row r="33" spans="1:21" s="60" customFormat="1" ht="18.75">
      <c r="A33" s="1260"/>
      <c r="B33" s="1257"/>
      <c r="C33" s="1257"/>
      <c r="D33" s="1257"/>
      <c r="E33" s="287" t="s">
        <v>4</v>
      </c>
      <c r="F33" s="280">
        <f>SUM(F30:F32)</f>
        <v>10000</v>
      </c>
      <c r="G33" s="1282"/>
      <c r="H33" s="1285"/>
      <c r="I33" s="1268"/>
      <c r="J33" s="1268"/>
      <c r="K33" s="1268"/>
      <c r="L33" s="1268"/>
      <c r="M33" s="1268"/>
      <c r="N33" s="1268"/>
      <c r="O33" s="1268"/>
      <c r="P33" s="1268"/>
      <c r="Q33" s="1268"/>
      <c r="R33" s="1268"/>
      <c r="S33" s="1274"/>
      <c r="T33" s="1268"/>
      <c r="U33" s="1278"/>
    </row>
    <row r="34" spans="1:21" s="354" customFormat="1" ht="33">
      <c r="A34" s="1254" t="s">
        <v>132</v>
      </c>
      <c r="B34" s="1257" t="s">
        <v>133</v>
      </c>
      <c r="C34" s="1258" t="s">
        <v>134</v>
      </c>
      <c r="D34" s="1257" t="s">
        <v>135</v>
      </c>
      <c r="E34" s="1054" t="s">
        <v>136</v>
      </c>
      <c r="F34" s="31">
        <f>460*4*3</f>
        <v>5520</v>
      </c>
      <c r="G34" s="1261" t="s">
        <v>77</v>
      </c>
      <c r="H34" s="1263">
        <v>22647</v>
      </c>
      <c r="I34" s="1251"/>
      <c r="J34" s="1251"/>
      <c r="K34" s="1251"/>
      <c r="L34" s="1269">
        <f>+F40</f>
        <v>41320</v>
      </c>
      <c r="M34" s="1251"/>
      <c r="N34" s="1251"/>
      <c r="O34" s="1251"/>
      <c r="P34" s="1251"/>
      <c r="Q34" s="1251"/>
      <c r="R34" s="1251"/>
      <c r="S34" s="1251"/>
      <c r="T34" s="1251"/>
      <c r="U34" s="1275" t="s">
        <v>72</v>
      </c>
    </row>
    <row r="35" spans="1:21" s="354" customFormat="1" ht="33">
      <c r="A35" s="1255"/>
      <c r="B35" s="1257"/>
      <c r="C35" s="1259"/>
      <c r="D35" s="1257"/>
      <c r="E35" s="1054" t="s">
        <v>1460</v>
      </c>
      <c r="F35" s="31">
        <f>100*80*2</f>
        <v>16000</v>
      </c>
      <c r="G35" s="1262"/>
      <c r="H35" s="1264"/>
      <c r="I35" s="1252"/>
      <c r="J35" s="1252"/>
      <c r="K35" s="1252"/>
      <c r="L35" s="1270"/>
      <c r="M35" s="1252"/>
      <c r="N35" s="1252"/>
      <c r="O35" s="1252"/>
      <c r="P35" s="1252"/>
      <c r="Q35" s="1252"/>
      <c r="R35" s="1252"/>
      <c r="S35" s="1252"/>
      <c r="T35" s="1252"/>
      <c r="U35" s="1264"/>
    </row>
    <row r="36" spans="1:21" s="354" customFormat="1" ht="49.5">
      <c r="A36" s="1255"/>
      <c r="B36" s="1257"/>
      <c r="C36" s="1259"/>
      <c r="D36" s="1257"/>
      <c r="E36" s="1054" t="s">
        <v>1461</v>
      </c>
      <c r="F36" s="31">
        <f>80*30*4</f>
        <v>9600</v>
      </c>
      <c r="G36" s="1262"/>
      <c r="H36" s="1264"/>
      <c r="I36" s="1252"/>
      <c r="J36" s="1252"/>
      <c r="K36" s="1252"/>
      <c r="L36" s="1270"/>
      <c r="M36" s="1252"/>
      <c r="N36" s="1252"/>
      <c r="O36" s="1252"/>
      <c r="P36" s="1252"/>
      <c r="Q36" s="1252"/>
      <c r="R36" s="1252"/>
      <c r="S36" s="1252"/>
      <c r="T36" s="1252"/>
      <c r="U36" s="1264"/>
    </row>
    <row r="37" spans="1:21" s="354" customFormat="1" ht="33">
      <c r="A37" s="1255"/>
      <c r="B37" s="1257"/>
      <c r="C37" s="1259"/>
      <c r="D37" s="1257"/>
      <c r="E37" s="1054" t="s">
        <v>1462</v>
      </c>
      <c r="F37" s="31">
        <f>160*30</f>
        <v>4800</v>
      </c>
      <c r="G37" s="1262"/>
      <c r="H37" s="1264"/>
      <c r="I37" s="1252"/>
      <c r="J37" s="1252"/>
      <c r="K37" s="1252"/>
      <c r="L37" s="1270"/>
      <c r="M37" s="1252"/>
      <c r="N37" s="1252"/>
      <c r="O37" s="1252"/>
      <c r="P37" s="1252"/>
      <c r="Q37" s="1252"/>
      <c r="R37" s="1252"/>
      <c r="S37" s="1252"/>
      <c r="T37" s="1252"/>
      <c r="U37" s="1264"/>
    </row>
    <row r="38" spans="1:21" s="354" customFormat="1" ht="33">
      <c r="A38" s="1255"/>
      <c r="B38" s="1257"/>
      <c r="C38" s="1259"/>
      <c r="D38" s="1257"/>
      <c r="E38" s="1054" t="s">
        <v>137</v>
      </c>
      <c r="F38" s="31">
        <f>1500*2</f>
        <v>3000</v>
      </c>
      <c r="G38" s="1262"/>
      <c r="H38" s="1264"/>
      <c r="I38" s="1252"/>
      <c r="J38" s="1252"/>
      <c r="K38" s="1252"/>
      <c r="L38" s="1270"/>
      <c r="M38" s="1252"/>
      <c r="N38" s="1252"/>
      <c r="O38" s="1252"/>
      <c r="P38" s="1252"/>
      <c r="Q38" s="1252"/>
      <c r="R38" s="1252"/>
      <c r="S38" s="1252"/>
      <c r="T38" s="1252"/>
      <c r="U38" s="1264"/>
    </row>
    <row r="39" spans="1:21" s="354" customFormat="1" ht="49.5">
      <c r="A39" s="1255"/>
      <c r="B39" s="1257"/>
      <c r="C39" s="1259"/>
      <c r="D39" s="1257"/>
      <c r="E39" s="1054" t="s">
        <v>138</v>
      </c>
      <c r="F39" s="31">
        <f>2*2*600</f>
        <v>2400</v>
      </c>
      <c r="G39" s="1262"/>
      <c r="H39" s="1264"/>
      <c r="I39" s="1252"/>
      <c r="J39" s="1252"/>
      <c r="K39" s="1252"/>
      <c r="L39" s="1270"/>
      <c r="M39" s="1252"/>
      <c r="N39" s="1252"/>
      <c r="O39" s="1252"/>
      <c r="P39" s="1252"/>
      <c r="Q39" s="1252"/>
      <c r="R39" s="1252"/>
      <c r="S39" s="1252"/>
      <c r="T39" s="1252"/>
      <c r="U39" s="1264"/>
    </row>
    <row r="40" spans="1:21" s="354" customFormat="1" ht="18.75">
      <c r="A40" s="1256"/>
      <c r="B40" s="1257"/>
      <c r="C40" s="1260"/>
      <c r="D40" s="1257"/>
      <c r="E40" s="287" t="s">
        <v>4</v>
      </c>
      <c r="F40" s="280">
        <f>SUM(F34:F39)</f>
        <v>41320</v>
      </c>
      <c r="G40" s="303"/>
      <c r="H40" s="1265"/>
      <c r="I40" s="1253"/>
      <c r="J40" s="1253"/>
      <c r="K40" s="1253"/>
      <c r="L40" s="1271"/>
      <c r="M40" s="1253"/>
      <c r="N40" s="1253"/>
      <c r="O40" s="1253"/>
      <c r="P40" s="1253"/>
      <c r="Q40" s="1253"/>
      <c r="R40" s="1253"/>
      <c r="S40" s="1253"/>
      <c r="T40" s="1253"/>
      <c r="U40" s="1265"/>
    </row>
    <row r="41" spans="5:21" s="29" customFormat="1" ht="64.5">
      <c r="E41" s="355" t="s">
        <v>139</v>
      </c>
      <c r="F41" s="356">
        <f>+F40+F33+F21+F18+F15+F9</f>
        <v>93000</v>
      </c>
      <c r="G41" s="357"/>
      <c r="H41" s="357"/>
      <c r="I41" s="358">
        <f aca="true" t="shared" si="0" ref="I41:T41">SUM(I7:I40)</f>
        <v>0</v>
      </c>
      <c r="J41" s="358">
        <f t="shared" si="0"/>
        <v>0</v>
      </c>
      <c r="K41" s="358">
        <f t="shared" si="0"/>
        <v>1400</v>
      </c>
      <c r="L41" s="358">
        <f t="shared" si="0"/>
        <v>43320</v>
      </c>
      <c r="M41" s="358">
        <f t="shared" si="0"/>
        <v>2000</v>
      </c>
      <c r="N41" s="358">
        <f t="shared" si="0"/>
        <v>2000</v>
      </c>
      <c r="O41" s="358">
        <f t="shared" si="0"/>
        <v>3400</v>
      </c>
      <c r="P41" s="358">
        <f t="shared" si="0"/>
        <v>3680</v>
      </c>
      <c r="Q41" s="358">
        <f t="shared" si="0"/>
        <v>16080</v>
      </c>
      <c r="R41" s="358">
        <f t="shared" si="0"/>
        <v>8040</v>
      </c>
      <c r="S41" s="358">
        <f t="shared" si="0"/>
        <v>13080</v>
      </c>
      <c r="T41" s="358">
        <f t="shared" si="0"/>
        <v>0</v>
      </c>
      <c r="U41" s="1055"/>
    </row>
    <row r="43" spans="1:5" ht="21.75">
      <c r="A43" s="143" t="s">
        <v>140</v>
      </c>
      <c r="B43" s="1250" t="s">
        <v>141</v>
      </c>
      <c r="C43" s="1250"/>
      <c r="D43" s="1250"/>
      <c r="E43" s="1250"/>
    </row>
  </sheetData>
  <sheetProtection/>
  <mergeCells count="127">
    <mergeCell ref="U4:U6"/>
    <mergeCell ref="E5:E6"/>
    <mergeCell ref="F5:F6"/>
    <mergeCell ref="G5:G6"/>
    <mergeCell ref="I5:I6"/>
    <mergeCell ref="J5:J6"/>
    <mergeCell ref="H4:H6"/>
    <mergeCell ref="I4:T4"/>
    <mergeCell ref="Q5:Q6"/>
    <mergeCell ref="R5:R6"/>
    <mergeCell ref="S5:S6"/>
    <mergeCell ref="T5:T6"/>
    <mergeCell ref="B13:B15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K13:K15"/>
    <mergeCell ref="L13:L15"/>
    <mergeCell ref="N5:N6"/>
    <mergeCell ref="M5:M6"/>
    <mergeCell ref="K5:K6"/>
    <mergeCell ref="L5:L6"/>
    <mergeCell ref="J13:J15"/>
    <mergeCell ref="A8:A10"/>
    <mergeCell ref="B8:B10"/>
    <mergeCell ref="C8:C10"/>
    <mergeCell ref="D8:D10"/>
    <mergeCell ref="A13:A15"/>
    <mergeCell ref="A16:A18"/>
    <mergeCell ref="B16:B18"/>
    <mergeCell ref="C16:C18"/>
    <mergeCell ref="D16:D18"/>
    <mergeCell ref="G16:G17"/>
    <mergeCell ref="H16:H18"/>
    <mergeCell ref="U13:U15"/>
    <mergeCell ref="O13:O15"/>
    <mergeCell ref="P13:P15"/>
    <mergeCell ref="Q13:Q15"/>
    <mergeCell ref="R13:R15"/>
    <mergeCell ref="O16:O18"/>
    <mergeCell ref="P16:P18"/>
    <mergeCell ref="Q16:Q18"/>
    <mergeCell ref="O5:O6"/>
    <mergeCell ref="M13:M15"/>
    <mergeCell ref="N13:N15"/>
    <mergeCell ref="P5:P6"/>
    <mergeCell ref="U16:U18"/>
    <mergeCell ref="J16:J18"/>
    <mergeCell ref="K16:K18"/>
    <mergeCell ref="L16:L18"/>
    <mergeCell ref="M16:M18"/>
    <mergeCell ref="N16:N18"/>
    <mergeCell ref="R16:R18"/>
    <mergeCell ref="S16:S18"/>
    <mergeCell ref="T16:T18"/>
    <mergeCell ref="C13:C15"/>
    <mergeCell ref="S13:S15"/>
    <mergeCell ref="T13:T15"/>
    <mergeCell ref="I16:I18"/>
    <mergeCell ref="G13:G14"/>
    <mergeCell ref="H13:H15"/>
    <mergeCell ref="I13:I15"/>
    <mergeCell ref="A19:A21"/>
    <mergeCell ref="B19:B21"/>
    <mergeCell ref="C19:C21"/>
    <mergeCell ref="D19:D21"/>
    <mergeCell ref="G19:G20"/>
    <mergeCell ref="H19:H21"/>
    <mergeCell ref="I19:I21"/>
    <mergeCell ref="J19:J21"/>
    <mergeCell ref="K19:K21"/>
    <mergeCell ref="L19:L21"/>
    <mergeCell ref="M19:M21"/>
    <mergeCell ref="N19:N21"/>
    <mergeCell ref="H30:H33"/>
    <mergeCell ref="O19:O21"/>
    <mergeCell ref="P19:P21"/>
    <mergeCell ref="Q19:Q21"/>
    <mergeCell ref="R19:R21"/>
    <mergeCell ref="K30:K33"/>
    <mergeCell ref="L30:L33"/>
    <mergeCell ref="M30:M33"/>
    <mergeCell ref="N30:N33"/>
    <mergeCell ref="R30:R33"/>
    <mergeCell ref="U19:U21"/>
    <mergeCell ref="U22:U23"/>
    <mergeCell ref="S19:S21"/>
    <mergeCell ref="T19:T21"/>
    <mergeCell ref="U30:U33"/>
    <mergeCell ref="A30:A33"/>
    <mergeCell ref="B30:B33"/>
    <mergeCell ref="C30:C33"/>
    <mergeCell ref="D30:D33"/>
    <mergeCell ref="G30:G33"/>
    <mergeCell ref="M34:M40"/>
    <mergeCell ref="S30:S33"/>
    <mergeCell ref="T30:T33"/>
    <mergeCell ref="T34:T40"/>
    <mergeCell ref="S34:S40"/>
    <mergeCell ref="U34:U40"/>
    <mergeCell ref="O30:O33"/>
    <mergeCell ref="J34:J40"/>
    <mergeCell ref="R34:R40"/>
    <mergeCell ref="P30:P33"/>
    <mergeCell ref="Q30:Q33"/>
    <mergeCell ref="I30:I33"/>
    <mergeCell ref="J30:J33"/>
    <mergeCell ref="P34:P40"/>
    <mergeCell ref="Q34:Q40"/>
    <mergeCell ref="K34:K40"/>
    <mergeCell ref="L34:L40"/>
    <mergeCell ref="B43:E43"/>
    <mergeCell ref="N34:N40"/>
    <mergeCell ref="O34:O40"/>
    <mergeCell ref="A34:A40"/>
    <mergeCell ref="B34:B40"/>
    <mergeCell ref="C34:C40"/>
    <mergeCell ref="D34:D40"/>
    <mergeCell ref="G34:G39"/>
    <mergeCell ref="H34:H40"/>
    <mergeCell ref="I34:I40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3" manualBreakCount="3">
    <brk id="11" max="255" man="1"/>
    <brk id="33" max="255" man="1"/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SheetLayoutView="100" zoomScalePageLayoutView="0" workbookViewId="0" topLeftCell="A3">
      <pane xSplit="4" ySplit="3" topLeftCell="E6" activePane="bottomRight" state="frozen"/>
      <selection pane="topLeft" activeCell="H2" sqref="H1:U16384"/>
      <selection pane="topRight" activeCell="H2" sqref="H1:U16384"/>
      <selection pane="bottomLeft" activeCell="H2" sqref="H1:U16384"/>
      <selection pane="bottomRight" activeCell="H2" sqref="H1:U16384"/>
    </sheetView>
  </sheetViews>
  <sheetFormatPr defaultColWidth="9.00390625" defaultRowHeight="15"/>
  <cols>
    <col min="1" max="5" width="22.57421875" style="29" customWidth="1"/>
    <col min="6" max="6" width="9.421875" style="29" customWidth="1"/>
    <col min="7" max="7" width="4.8515625" style="29" customWidth="1"/>
    <col min="8" max="8" width="5.421875" style="29" customWidth="1"/>
    <col min="9" max="14" width="3.8515625" style="29" customWidth="1"/>
    <col min="15" max="15" width="4.421875" style="29" customWidth="1"/>
    <col min="16" max="19" width="3.8515625" style="29" customWidth="1"/>
    <col min="20" max="20" width="4.00390625" style="29" customWidth="1"/>
    <col min="21" max="21" width="5.00390625" style="29" customWidth="1"/>
    <col min="22" max="16384" width="9.00390625" style="29" customWidth="1"/>
  </cols>
  <sheetData>
    <row r="1" spans="1:23" s="1" customFormat="1" ht="20.25">
      <c r="A1" s="1344" t="s">
        <v>150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  <c r="V1" s="34"/>
      <c r="W1" s="34"/>
    </row>
    <row r="2" spans="1:5" s="1" customFormat="1" ht="20.25">
      <c r="A2" s="35" t="s">
        <v>151</v>
      </c>
      <c r="B2" s="359"/>
      <c r="C2" s="359"/>
      <c r="D2" s="359"/>
      <c r="E2" s="359"/>
    </row>
    <row r="3" spans="1:21" ht="18.75">
      <c r="A3" s="1343" t="s">
        <v>44</v>
      </c>
      <c r="B3" s="1343" t="s">
        <v>45</v>
      </c>
      <c r="C3" s="1343" t="s">
        <v>46</v>
      </c>
      <c r="D3" s="1343" t="s">
        <v>47</v>
      </c>
      <c r="E3" s="1345" t="s">
        <v>52</v>
      </c>
      <c r="F3" s="1343" t="s">
        <v>48</v>
      </c>
      <c r="G3" s="1343"/>
      <c r="H3" s="1345" t="s">
        <v>152</v>
      </c>
      <c r="I3" s="1343" t="s">
        <v>50</v>
      </c>
      <c r="J3" s="1343"/>
      <c r="K3" s="1343"/>
      <c r="L3" s="1343"/>
      <c r="M3" s="1343"/>
      <c r="N3" s="1343"/>
      <c r="O3" s="1343"/>
      <c r="P3" s="1343"/>
      <c r="Q3" s="1343"/>
      <c r="R3" s="1343"/>
      <c r="S3" s="1343"/>
      <c r="T3" s="1343"/>
      <c r="U3" s="1348" t="s">
        <v>153</v>
      </c>
    </row>
    <row r="4" spans="1:21" ht="18.75">
      <c r="A4" s="1343"/>
      <c r="B4" s="1343"/>
      <c r="C4" s="1343"/>
      <c r="D4" s="1343"/>
      <c r="E4" s="1346"/>
      <c r="F4" s="1343" t="s">
        <v>53</v>
      </c>
      <c r="G4" s="1343" t="s">
        <v>54</v>
      </c>
      <c r="H4" s="1346"/>
      <c r="I4" s="1342" t="s">
        <v>55</v>
      </c>
      <c r="J4" s="1342" t="s">
        <v>56</v>
      </c>
      <c r="K4" s="1342" t="s">
        <v>57</v>
      </c>
      <c r="L4" s="1342" t="s">
        <v>58</v>
      </c>
      <c r="M4" s="1342" t="s">
        <v>59</v>
      </c>
      <c r="N4" s="1342" t="s">
        <v>60</v>
      </c>
      <c r="O4" s="1342" t="s">
        <v>61</v>
      </c>
      <c r="P4" s="1342" t="s">
        <v>62</v>
      </c>
      <c r="Q4" s="1342" t="s">
        <v>63</v>
      </c>
      <c r="R4" s="1342" t="s">
        <v>64</v>
      </c>
      <c r="S4" s="1342" t="s">
        <v>65</v>
      </c>
      <c r="T4" s="1342" t="s">
        <v>66</v>
      </c>
      <c r="U4" s="1349"/>
    </row>
    <row r="5" spans="1:21" ht="18.75">
      <c r="A5" s="1343"/>
      <c r="B5" s="1343"/>
      <c r="C5" s="1343"/>
      <c r="D5" s="1343"/>
      <c r="E5" s="1347"/>
      <c r="F5" s="1343"/>
      <c r="G5" s="1343"/>
      <c r="H5" s="1347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50"/>
    </row>
    <row r="6" spans="1:21" ht="37.5">
      <c r="A6" s="1306" t="s">
        <v>154</v>
      </c>
      <c r="B6" s="1292" t="s">
        <v>155</v>
      </c>
      <c r="C6" s="1306" t="s">
        <v>156</v>
      </c>
      <c r="D6" s="1292" t="s">
        <v>157</v>
      </c>
      <c r="E6" s="202" t="s">
        <v>158</v>
      </c>
      <c r="F6" s="36">
        <f>70*7*80</f>
        <v>39200</v>
      </c>
      <c r="G6" s="1318" t="s">
        <v>77</v>
      </c>
      <c r="H6" s="1320" t="s">
        <v>159</v>
      </c>
      <c r="I6" s="1312">
        <v>4900</v>
      </c>
      <c r="J6" s="1312">
        <v>4900</v>
      </c>
      <c r="K6" s="1312">
        <v>4800</v>
      </c>
      <c r="L6" s="1312">
        <v>4800</v>
      </c>
      <c r="M6" s="1312">
        <v>4800</v>
      </c>
      <c r="N6" s="1312">
        <v>4800</v>
      </c>
      <c r="O6" s="1312">
        <v>4800</v>
      </c>
      <c r="P6" s="1312">
        <v>4800</v>
      </c>
      <c r="Q6" s="1312">
        <v>4800</v>
      </c>
      <c r="R6" s="1312">
        <v>4800</v>
      </c>
      <c r="S6" s="1312">
        <v>4900</v>
      </c>
      <c r="T6" s="1312">
        <v>4900</v>
      </c>
      <c r="U6" s="1315" t="s">
        <v>160</v>
      </c>
    </row>
    <row r="7" spans="1:21" ht="56.25">
      <c r="A7" s="1307"/>
      <c r="B7" s="1292"/>
      <c r="C7" s="1307"/>
      <c r="D7" s="1292"/>
      <c r="E7" s="210" t="s">
        <v>161</v>
      </c>
      <c r="F7" s="36">
        <f>70*12*20</f>
        <v>16800</v>
      </c>
      <c r="G7" s="1319"/>
      <c r="H7" s="1321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6"/>
    </row>
    <row r="8" spans="1:21" ht="18.75">
      <c r="A8" s="1307"/>
      <c r="B8" s="1292"/>
      <c r="C8" s="1307"/>
      <c r="D8" s="1292"/>
      <c r="E8" s="210" t="s">
        <v>162</v>
      </c>
      <c r="F8" s="36">
        <f>93400-91400</f>
        <v>2000</v>
      </c>
      <c r="G8" s="1322"/>
      <c r="H8" s="1321"/>
      <c r="I8" s="1313"/>
      <c r="J8" s="1313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6"/>
    </row>
    <row r="9" spans="1:22" ht="18.75">
      <c r="A9" s="1308"/>
      <c r="B9" s="1292"/>
      <c r="C9" s="1308"/>
      <c r="D9" s="1292"/>
      <c r="E9" s="279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1" ht="56.25">
      <c r="A10" s="1286" t="s">
        <v>163</v>
      </c>
      <c r="B10" s="1289" t="s">
        <v>164</v>
      </c>
      <c r="C10" s="1289" t="s">
        <v>165</v>
      </c>
      <c r="D10" s="1286" t="s">
        <v>166</v>
      </c>
      <c r="E10" s="202" t="s">
        <v>167</v>
      </c>
      <c r="F10" s="36">
        <f>270*2*80</f>
        <v>43200</v>
      </c>
      <c r="G10" s="1318" t="s">
        <v>77</v>
      </c>
      <c r="H10" s="1320" t="s">
        <v>168</v>
      </c>
      <c r="I10" s="1340"/>
      <c r="J10" s="1312">
        <v>33400</v>
      </c>
      <c r="K10" s="1312"/>
      <c r="L10" s="1312"/>
      <c r="M10" s="1312"/>
      <c r="N10" s="1312"/>
      <c r="O10" s="1312">
        <v>33400</v>
      </c>
      <c r="P10" s="1340"/>
      <c r="Q10" s="1340"/>
      <c r="R10" s="1340"/>
      <c r="S10" s="1340"/>
      <c r="T10" s="1340"/>
      <c r="U10" s="1315" t="s">
        <v>160</v>
      </c>
    </row>
    <row r="11" spans="1:21" ht="56.25">
      <c r="A11" s="1287"/>
      <c r="B11" s="1290"/>
      <c r="C11" s="1290"/>
      <c r="D11" s="1287"/>
      <c r="E11" s="202" t="s">
        <v>169</v>
      </c>
      <c r="F11" s="36">
        <f>270*4*20</f>
        <v>21600</v>
      </c>
      <c r="G11" s="1319"/>
      <c r="H11" s="1321"/>
      <c r="I11" s="1341"/>
      <c r="J11" s="1313"/>
      <c r="K11" s="1313"/>
      <c r="L11" s="1313"/>
      <c r="M11" s="1313"/>
      <c r="N11" s="1313"/>
      <c r="O11" s="1313"/>
      <c r="P11" s="1341"/>
      <c r="Q11" s="1341"/>
      <c r="R11" s="1341"/>
      <c r="S11" s="1341"/>
      <c r="T11" s="1341"/>
      <c r="U11" s="1316"/>
    </row>
    <row r="12" spans="1:21" ht="18.75">
      <c r="A12" s="1287"/>
      <c r="B12" s="1290"/>
      <c r="C12" s="1290"/>
      <c r="D12" s="1287"/>
      <c r="E12" s="202" t="s">
        <v>170</v>
      </c>
      <c r="F12" s="36">
        <v>2000</v>
      </c>
      <c r="G12" s="1322"/>
      <c r="H12" s="1321"/>
      <c r="I12" s="1341"/>
      <c r="J12" s="1313"/>
      <c r="K12" s="1313"/>
      <c r="L12" s="1313"/>
      <c r="M12" s="1313"/>
      <c r="N12" s="1313"/>
      <c r="O12" s="1313"/>
      <c r="P12" s="1341"/>
      <c r="Q12" s="1341"/>
      <c r="R12" s="1341"/>
      <c r="S12" s="1341"/>
      <c r="T12" s="1341"/>
      <c r="U12" s="1316"/>
    </row>
    <row r="13" spans="1:21" ht="18.75">
      <c r="A13" s="1288"/>
      <c r="B13" s="1291"/>
      <c r="C13" s="1291"/>
      <c r="D13" s="1288"/>
      <c r="E13" s="279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1" ht="18.75">
      <c r="A14" s="1333" t="s">
        <v>171</v>
      </c>
      <c r="B14" s="1333" t="s">
        <v>172</v>
      </c>
      <c r="C14" s="1333" t="s">
        <v>173</v>
      </c>
      <c r="D14" s="1333" t="s">
        <v>174</v>
      </c>
      <c r="E14" s="360"/>
      <c r="F14" s="41"/>
      <c r="G14" s="1334" t="s">
        <v>77</v>
      </c>
      <c r="H14" s="1320" t="s">
        <v>175</v>
      </c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12">
        <f>F18</f>
        <v>0</v>
      </c>
      <c r="T14" s="1324"/>
      <c r="U14" s="1330" t="s">
        <v>160</v>
      </c>
    </row>
    <row r="15" spans="1:21" ht="18.75">
      <c r="A15" s="1333"/>
      <c r="B15" s="1333"/>
      <c r="C15" s="1333"/>
      <c r="D15" s="1333"/>
      <c r="E15" s="360"/>
      <c r="F15" s="41"/>
      <c r="G15" s="1335"/>
      <c r="H15" s="1321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13"/>
      <c r="T15" s="1325"/>
      <c r="U15" s="1331"/>
    </row>
    <row r="16" spans="1:21" ht="18.75">
      <c r="A16" s="1333"/>
      <c r="B16" s="1333"/>
      <c r="C16" s="1333"/>
      <c r="D16" s="1333"/>
      <c r="E16" s="360"/>
      <c r="F16" s="41"/>
      <c r="G16" s="1335"/>
      <c r="H16" s="1321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13"/>
      <c r="T16" s="1325"/>
      <c r="U16" s="1331"/>
    </row>
    <row r="17" spans="1:21" ht="18.75">
      <c r="A17" s="1333"/>
      <c r="B17" s="1333"/>
      <c r="C17" s="1333"/>
      <c r="D17" s="1333"/>
      <c r="E17" s="360"/>
      <c r="F17" s="41"/>
      <c r="G17" s="1335"/>
      <c r="H17" s="1321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13"/>
      <c r="T17" s="1325"/>
      <c r="U17" s="1331"/>
    </row>
    <row r="18" spans="1:21" ht="18.75">
      <c r="A18" s="1333"/>
      <c r="B18" s="1333"/>
      <c r="C18" s="1333"/>
      <c r="D18" s="1333"/>
      <c r="E18" s="279"/>
      <c r="F18" s="37"/>
      <c r="G18" s="1336"/>
      <c r="H18" s="1323"/>
      <c r="I18" s="1326"/>
      <c r="J18" s="1326"/>
      <c r="K18" s="1326"/>
      <c r="L18" s="1326"/>
      <c r="M18" s="1326"/>
      <c r="N18" s="1326"/>
      <c r="O18" s="1326"/>
      <c r="P18" s="1326"/>
      <c r="Q18" s="1326"/>
      <c r="R18" s="1326"/>
      <c r="S18" s="1314"/>
      <c r="T18" s="1326"/>
      <c r="U18" s="1332"/>
    </row>
    <row r="19" spans="1:21" ht="18.75">
      <c r="A19" s="1333" t="s">
        <v>176</v>
      </c>
      <c r="B19" s="1333" t="s">
        <v>177</v>
      </c>
      <c r="C19" s="1333" t="s">
        <v>173</v>
      </c>
      <c r="D19" s="1333" t="s">
        <v>178</v>
      </c>
      <c r="E19" s="360"/>
      <c r="F19" s="41"/>
      <c r="G19" s="1334" t="s">
        <v>77</v>
      </c>
      <c r="H19" s="1320" t="s">
        <v>175</v>
      </c>
      <c r="I19" s="1324"/>
      <c r="J19" s="1324"/>
      <c r="K19" s="1324"/>
      <c r="L19" s="1324"/>
      <c r="M19" s="1324"/>
      <c r="N19" s="1324"/>
      <c r="O19" s="1324"/>
      <c r="P19" s="1324"/>
      <c r="Q19" s="1324"/>
      <c r="R19" s="1324"/>
      <c r="S19" s="1312"/>
      <c r="T19" s="1324"/>
      <c r="U19" s="1330" t="s">
        <v>160</v>
      </c>
    </row>
    <row r="20" spans="1:21" ht="18.75">
      <c r="A20" s="1333"/>
      <c r="B20" s="1333"/>
      <c r="C20" s="1333"/>
      <c r="D20" s="1333"/>
      <c r="E20" s="360"/>
      <c r="F20" s="41"/>
      <c r="G20" s="1335"/>
      <c r="H20" s="1321"/>
      <c r="I20" s="1325"/>
      <c r="J20" s="1325"/>
      <c r="K20" s="1325"/>
      <c r="L20" s="1325"/>
      <c r="M20" s="1325"/>
      <c r="N20" s="1325"/>
      <c r="O20" s="1325"/>
      <c r="P20" s="1325"/>
      <c r="Q20" s="1325"/>
      <c r="R20" s="1325"/>
      <c r="S20" s="1313"/>
      <c r="T20" s="1325"/>
      <c r="U20" s="1331"/>
    </row>
    <row r="21" spans="1:21" ht="18.75">
      <c r="A21" s="1333"/>
      <c r="B21" s="1333"/>
      <c r="C21" s="1333"/>
      <c r="D21" s="1333"/>
      <c r="E21" s="360"/>
      <c r="F21" s="41"/>
      <c r="G21" s="1335"/>
      <c r="H21" s="1321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13"/>
      <c r="T21" s="1325"/>
      <c r="U21" s="1331"/>
    </row>
    <row r="22" spans="1:21" ht="18.75">
      <c r="A22" s="1333"/>
      <c r="B22" s="1333"/>
      <c r="C22" s="1333"/>
      <c r="D22" s="1333"/>
      <c r="E22" s="360"/>
      <c r="F22" s="41"/>
      <c r="G22" s="1335"/>
      <c r="H22" s="1321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13"/>
      <c r="T22" s="1325"/>
      <c r="U22" s="1331"/>
    </row>
    <row r="23" spans="1:21" ht="18.75">
      <c r="A23" s="1333"/>
      <c r="B23" s="1333"/>
      <c r="C23" s="1333"/>
      <c r="D23" s="1333"/>
      <c r="E23" s="279"/>
      <c r="F23" s="37"/>
      <c r="G23" s="1336"/>
      <c r="H23" s="1323"/>
      <c r="I23" s="1326"/>
      <c r="J23" s="1326"/>
      <c r="K23" s="1326"/>
      <c r="L23" s="1326"/>
      <c r="M23" s="1326"/>
      <c r="N23" s="1326"/>
      <c r="O23" s="1326"/>
      <c r="P23" s="1326"/>
      <c r="Q23" s="1326"/>
      <c r="R23" s="1326"/>
      <c r="S23" s="1314"/>
      <c r="T23" s="1326"/>
      <c r="U23" s="1332"/>
    </row>
    <row r="24" spans="1:21" ht="18.75">
      <c r="A24" s="1254" t="s">
        <v>179</v>
      </c>
      <c r="B24" s="1333" t="s">
        <v>180</v>
      </c>
      <c r="C24" s="1254" t="s">
        <v>181</v>
      </c>
      <c r="D24" s="1254" t="s">
        <v>174</v>
      </c>
      <c r="E24" s="360"/>
      <c r="F24" s="36"/>
      <c r="G24" s="1334" t="s">
        <v>77</v>
      </c>
      <c r="H24" s="1320" t="s">
        <v>182</v>
      </c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42"/>
      <c r="T24" s="1312"/>
      <c r="U24" s="1330" t="s">
        <v>160</v>
      </c>
    </row>
    <row r="25" spans="1:21" ht="18.75">
      <c r="A25" s="1255"/>
      <c r="B25" s="1333"/>
      <c r="C25" s="1255"/>
      <c r="D25" s="1255"/>
      <c r="E25" s="337"/>
      <c r="F25" s="43"/>
      <c r="G25" s="1335"/>
      <c r="H25" s="1321"/>
      <c r="I25" s="1325"/>
      <c r="J25" s="1325"/>
      <c r="K25" s="1325"/>
      <c r="L25" s="1325"/>
      <c r="M25" s="1325"/>
      <c r="N25" s="1325"/>
      <c r="O25" s="1325"/>
      <c r="P25" s="1325"/>
      <c r="Q25" s="1325"/>
      <c r="R25" s="1325"/>
      <c r="S25" s="44"/>
      <c r="T25" s="1313"/>
      <c r="U25" s="1331"/>
    </row>
    <row r="26" spans="1:21" ht="18.75">
      <c r="A26" s="1255"/>
      <c r="B26" s="1333"/>
      <c r="C26" s="1255"/>
      <c r="D26" s="1255"/>
      <c r="E26" s="313"/>
      <c r="F26" s="45"/>
      <c r="G26" s="1335"/>
      <c r="H26" s="1321"/>
      <c r="I26" s="1325"/>
      <c r="J26" s="1325"/>
      <c r="K26" s="1325"/>
      <c r="L26" s="1325"/>
      <c r="M26" s="1325"/>
      <c r="N26" s="1325"/>
      <c r="O26" s="1325"/>
      <c r="P26" s="1325"/>
      <c r="Q26" s="1325"/>
      <c r="R26" s="1325"/>
      <c r="S26" s="44"/>
      <c r="T26" s="1313"/>
      <c r="U26" s="1331"/>
    </row>
    <row r="27" spans="1:21" ht="18.75">
      <c r="A27" s="1256"/>
      <c r="B27" s="1333"/>
      <c r="C27" s="1256"/>
      <c r="D27" s="1256"/>
      <c r="E27" s="279"/>
      <c r="F27" s="37"/>
      <c r="G27" s="1336"/>
      <c r="H27" s="1323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46"/>
      <c r="T27" s="1314"/>
      <c r="U27" s="1332"/>
    </row>
    <row r="28" spans="1:21" ht="56.25">
      <c r="A28" s="1289" t="s">
        <v>183</v>
      </c>
      <c r="B28" s="1289" t="s">
        <v>164</v>
      </c>
      <c r="C28" s="1289" t="s">
        <v>184</v>
      </c>
      <c r="D28" s="1289" t="s">
        <v>185</v>
      </c>
      <c r="E28" s="205" t="s">
        <v>186</v>
      </c>
      <c r="F28" s="36">
        <f>120*2*120*2</f>
        <v>57600</v>
      </c>
      <c r="G28" s="1337" t="s">
        <v>77</v>
      </c>
      <c r="H28" s="1320" t="s">
        <v>168</v>
      </c>
      <c r="I28" s="1324"/>
      <c r="J28" s="1324"/>
      <c r="K28" s="1312">
        <f>F36/2</f>
        <v>121840</v>
      </c>
      <c r="L28" s="1327"/>
      <c r="M28" s="1327"/>
      <c r="N28" s="1327"/>
      <c r="O28" s="1327"/>
      <c r="P28" s="1327"/>
      <c r="Q28" s="1327"/>
      <c r="R28" s="1312">
        <v>118440</v>
      </c>
      <c r="S28" s="1327"/>
      <c r="T28" s="1324"/>
      <c r="U28" s="1315" t="s">
        <v>160</v>
      </c>
    </row>
    <row r="29" spans="1:21" ht="56.25">
      <c r="A29" s="1290"/>
      <c r="B29" s="1290"/>
      <c r="C29" s="1290"/>
      <c r="D29" s="1290"/>
      <c r="E29" s="205" t="s">
        <v>1425</v>
      </c>
      <c r="F29" s="36">
        <f>120*4*35*2</f>
        <v>33600</v>
      </c>
      <c r="G29" s="1338"/>
      <c r="H29" s="1321"/>
      <c r="I29" s="1325"/>
      <c r="J29" s="1325"/>
      <c r="K29" s="1313"/>
      <c r="L29" s="1328"/>
      <c r="M29" s="1328"/>
      <c r="N29" s="1328"/>
      <c r="O29" s="1328"/>
      <c r="P29" s="1328"/>
      <c r="Q29" s="1328"/>
      <c r="R29" s="1313"/>
      <c r="S29" s="1328"/>
      <c r="T29" s="1325"/>
      <c r="U29" s="1316"/>
    </row>
    <row r="30" spans="1:21" ht="56.25">
      <c r="A30" s="1290"/>
      <c r="B30" s="1290"/>
      <c r="C30" s="1290"/>
      <c r="D30" s="1290"/>
      <c r="E30" s="205" t="s">
        <v>187</v>
      </c>
      <c r="F30" s="36">
        <f>120*2*120*2</f>
        <v>57600</v>
      </c>
      <c r="G30" s="1338"/>
      <c r="H30" s="1321"/>
      <c r="I30" s="1325"/>
      <c r="J30" s="1325"/>
      <c r="K30" s="1313"/>
      <c r="L30" s="1328"/>
      <c r="M30" s="1328"/>
      <c r="N30" s="1328"/>
      <c r="O30" s="1328"/>
      <c r="P30" s="1328"/>
      <c r="Q30" s="1328"/>
      <c r="R30" s="1313"/>
      <c r="S30" s="1328"/>
      <c r="T30" s="1325"/>
      <c r="U30" s="1316"/>
    </row>
    <row r="31" spans="1:21" ht="56.25">
      <c r="A31" s="1290"/>
      <c r="B31" s="1290"/>
      <c r="C31" s="1290"/>
      <c r="D31" s="1290"/>
      <c r="E31" s="205" t="s">
        <v>188</v>
      </c>
      <c r="F31" s="36">
        <f>120*2*120*2</f>
        <v>57600</v>
      </c>
      <c r="G31" s="1338"/>
      <c r="H31" s="1321"/>
      <c r="I31" s="1325"/>
      <c r="J31" s="1325"/>
      <c r="K31" s="1313"/>
      <c r="L31" s="1328"/>
      <c r="M31" s="1328"/>
      <c r="N31" s="1328"/>
      <c r="O31" s="1328"/>
      <c r="P31" s="1328"/>
      <c r="Q31" s="1328"/>
      <c r="R31" s="1313"/>
      <c r="S31" s="1328"/>
      <c r="T31" s="1325"/>
      <c r="U31" s="1316"/>
    </row>
    <row r="32" spans="1:21" ht="37.5">
      <c r="A32" s="1290"/>
      <c r="B32" s="1290"/>
      <c r="C32" s="1290"/>
      <c r="D32" s="1290"/>
      <c r="E32" s="205" t="s">
        <v>189</v>
      </c>
      <c r="F32" s="36">
        <f>10000*2</f>
        <v>20000</v>
      </c>
      <c r="G32" s="1338"/>
      <c r="H32" s="1321"/>
      <c r="I32" s="1325"/>
      <c r="J32" s="1325"/>
      <c r="K32" s="1313"/>
      <c r="L32" s="1328"/>
      <c r="M32" s="1328"/>
      <c r="N32" s="1328"/>
      <c r="O32" s="1328"/>
      <c r="P32" s="1328"/>
      <c r="Q32" s="1328"/>
      <c r="R32" s="1313"/>
      <c r="S32" s="1328"/>
      <c r="T32" s="1325"/>
      <c r="U32" s="1316"/>
    </row>
    <row r="33" spans="1:21" ht="75">
      <c r="A33" s="1290"/>
      <c r="B33" s="1290"/>
      <c r="C33" s="1290"/>
      <c r="D33" s="1290"/>
      <c r="E33" s="205" t="s">
        <v>1426</v>
      </c>
      <c r="F33" s="36"/>
      <c r="G33" s="1338"/>
      <c r="H33" s="1321"/>
      <c r="I33" s="1325"/>
      <c r="J33" s="1325"/>
      <c r="K33" s="1313"/>
      <c r="L33" s="1328"/>
      <c r="M33" s="1328"/>
      <c r="N33" s="1328"/>
      <c r="O33" s="1328"/>
      <c r="P33" s="1328"/>
      <c r="Q33" s="1328"/>
      <c r="R33" s="1313"/>
      <c r="S33" s="1328"/>
      <c r="T33" s="1325"/>
      <c r="U33" s="1316"/>
    </row>
    <row r="34" spans="1:21" ht="37.5">
      <c r="A34" s="1290"/>
      <c r="B34" s="1290"/>
      <c r="C34" s="1290"/>
      <c r="D34" s="1290"/>
      <c r="E34" s="205" t="s">
        <v>190</v>
      </c>
      <c r="F34" s="36">
        <f>3*6*200*2</f>
        <v>7200</v>
      </c>
      <c r="G34" s="1338"/>
      <c r="H34" s="1321"/>
      <c r="I34" s="1325"/>
      <c r="J34" s="1325"/>
      <c r="K34" s="1313"/>
      <c r="L34" s="1328"/>
      <c r="M34" s="1328"/>
      <c r="N34" s="1328"/>
      <c r="O34" s="1328"/>
      <c r="P34" s="1328"/>
      <c r="Q34" s="1328"/>
      <c r="R34" s="1313"/>
      <c r="S34" s="1328"/>
      <c r="T34" s="1325"/>
      <c r="U34" s="1316"/>
    </row>
    <row r="35" spans="1:21" ht="56.25">
      <c r="A35" s="1290"/>
      <c r="B35" s="1290"/>
      <c r="C35" s="1290"/>
      <c r="D35" s="1290"/>
      <c r="E35" s="205" t="s">
        <v>191</v>
      </c>
      <c r="F35" s="36">
        <f>2*6*420*2</f>
        <v>10080</v>
      </c>
      <c r="G35" s="1338"/>
      <c r="H35" s="1321"/>
      <c r="I35" s="1325"/>
      <c r="J35" s="1325"/>
      <c r="K35" s="1313"/>
      <c r="L35" s="1328"/>
      <c r="M35" s="1328"/>
      <c r="N35" s="1328"/>
      <c r="O35" s="1328"/>
      <c r="P35" s="1328"/>
      <c r="Q35" s="1328"/>
      <c r="R35" s="1313"/>
      <c r="S35" s="1328"/>
      <c r="T35" s="1325"/>
      <c r="U35" s="1316"/>
    </row>
    <row r="36" spans="1:21" ht="31.5">
      <c r="A36" s="1291"/>
      <c r="B36" s="1291"/>
      <c r="C36" s="1291"/>
      <c r="D36" s="1291"/>
      <c r="E36" s="287" t="s">
        <v>4</v>
      </c>
      <c r="F36" s="37">
        <f>SUM(F28:F35)</f>
        <v>243680</v>
      </c>
      <c r="G36" s="1339"/>
      <c r="H36" s="1323"/>
      <c r="I36" s="1326"/>
      <c r="J36" s="1326"/>
      <c r="K36" s="1314"/>
      <c r="L36" s="1329"/>
      <c r="M36" s="1329"/>
      <c r="N36" s="1329"/>
      <c r="O36" s="1329"/>
      <c r="P36" s="1329"/>
      <c r="Q36" s="1329"/>
      <c r="R36" s="1314"/>
      <c r="S36" s="1329"/>
      <c r="T36" s="1326"/>
      <c r="U36" s="1317"/>
    </row>
    <row r="37" spans="1:21" ht="18.75">
      <c r="A37" s="1306" t="s">
        <v>192</v>
      </c>
      <c r="B37" s="1292" t="s">
        <v>193</v>
      </c>
      <c r="C37" s="1306" t="s">
        <v>194</v>
      </c>
      <c r="D37" s="1292" t="s">
        <v>195</v>
      </c>
      <c r="E37" s="202"/>
      <c r="F37" s="41"/>
      <c r="G37" s="1318" t="s">
        <v>77</v>
      </c>
      <c r="H37" s="1320" t="s">
        <v>196</v>
      </c>
      <c r="I37" s="1312"/>
      <c r="J37" s="1312"/>
      <c r="K37" s="1312"/>
      <c r="L37" s="1312"/>
      <c r="M37" s="1312"/>
      <c r="N37" s="1312"/>
      <c r="O37" s="1312"/>
      <c r="P37" s="1312"/>
      <c r="Q37" s="1312"/>
      <c r="R37" s="1312"/>
      <c r="S37" s="1312"/>
      <c r="T37" s="1312"/>
      <c r="U37" s="1315" t="s">
        <v>160</v>
      </c>
    </row>
    <row r="38" spans="1:21" ht="18.75">
      <c r="A38" s="1307"/>
      <c r="B38" s="1292"/>
      <c r="C38" s="1307"/>
      <c r="D38" s="1292"/>
      <c r="E38" s="210"/>
      <c r="F38" s="41"/>
      <c r="G38" s="1319"/>
      <c r="H38" s="1321"/>
      <c r="I38" s="1313"/>
      <c r="J38" s="1313"/>
      <c r="K38" s="1313"/>
      <c r="L38" s="1313"/>
      <c r="M38" s="1313"/>
      <c r="N38" s="1313"/>
      <c r="O38" s="1313"/>
      <c r="P38" s="1313"/>
      <c r="Q38" s="1313"/>
      <c r="R38" s="1313"/>
      <c r="S38" s="1313"/>
      <c r="T38" s="1313"/>
      <c r="U38" s="1316"/>
    </row>
    <row r="39" spans="1:21" ht="18.75">
      <c r="A39" s="1307"/>
      <c r="B39" s="1292"/>
      <c r="C39" s="1307"/>
      <c r="D39" s="1292"/>
      <c r="E39" s="210"/>
      <c r="F39" s="41"/>
      <c r="G39" s="1319"/>
      <c r="H39" s="1321"/>
      <c r="I39" s="1313"/>
      <c r="J39" s="1313"/>
      <c r="K39" s="1313"/>
      <c r="L39" s="1313"/>
      <c r="M39" s="1313"/>
      <c r="N39" s="1313"/>
      <c r="O39" s="1313"/>
      <c r="P39" s="1313"/>
      <c r="Q39" s="1313"/>
      <c r="R39" s="1313"/>
      <c r="S39" s="1313"/>
      <c r="T39" s="1313"/>
      <c r="U39" s="1316"/>
    </row>
    <row r="40" spans="1:21" ht="18.75">
      <c r="A40" s="1307"/>
      <c r="B40" s="1292"/>
      <c r="C40" s="1307"/>
      <c r="D40" s="1292"/>
      <c r="E40" s="214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18.75">
      <c r="A41" s="1308"/>
      <c r="B41" s="1292"/>
      <c r="C41" s="1308"/>
      <c r="D41" s="1292"/>
      <c r="E41" s="279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 ht="18.75">
      <c r="A42" s="1306" t="s">
        <v>197</v>
      </c>
      <c r="B42" s="1292" t="s">
        <v>198</v>
      </c>
      <c r="C42" s="1306" t="s">
        <v>199</v>
      </c>
      <c r="D42" s="1292" t="s">
        <v>200</v>
      </c>
      <c r="E42" s="337" t="s">
        <v>201</v>
      </c>
      <c r="F42" s="43"/>
      <c r="G42" s="1318"/>
      <c r="H42" s="1320" t="s">
        <v>202</v>
      </c>
      <c r="I42" s="1312"/>
      <c r="J42" s="1312"/>
      <c r="K42" s="1312"/>
      <c r="L42" s="1312"/>
      <c r="M42" s="1312"/>
      <c r="N42" s="1312"/>
      <c r="O42" s="1312"/>
      <c r="P42" s="1312"/>
      <c r="Q42" s="1312"/>
      <c r="R42" s="1312"/>
      <c r="S42" s="1312"/>
      <c r="T42" s="1312"/>
      <c r="U42" s="1315" t="s">
        <v>160</v>
      </c>
    </row>
    <row r="43" spans="1:21" ht="18.75">
      <c r="A43" s="1307"/>
      <c r="B43" s="1292"/>
      <c r="C43" s="1307"/>
      <c r="D43" s="1292"/>
      <c r="E43" s="339"/>
      <c r="F43" s="55"/>
      <c r="G43" s="1319"/>
      <c r="H43" s="1321"/>
      <c r="I43" s="1313"/>
      <c r="J43" s="1313"/>
      <c r="K43" s="1313"/>
      <c r="L43" s="1313"/>
      <c r="M43" s="1313"/>
      <c r="N43" s="1313"/>
      <c r="O43" s="1313"/>
      <c r="P43" s="1313"/>
      <c r="Q43" s="1313"/>
      <c r="R43" s="1313"/>
      <c r="S43" s="1313"/>
      <c r="T43" s="1313"/>
      <c r="U43" s="1316"/>
    </row>
    <row r="44" spans="1:21" ht="18.75">
      <c r="A44" s="1307"/>
      <c r="B44" s="1292"/>
      <c r="C44" s="1307"/>
      <c r="D44" s="1292"/>
      <c r="E44" s="339"/>
      <c r="F44" s="55"/>
      <c r="G44" s="1319"/>
      <c r="H44" s="1321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6"/>
    </row>
    <row r="45" spans="1:21" ht="37.5">
      <c r="A45" s="1306" t="s">
        <v>203</v>
      </c>
      <c r="B45" s="1292" t="s">
        <v>204</v>
      </c>
      <c r="C45" s="1306" t="s">
        <v>205</v>
      </c>
      <c r="D45" s="1292" t="s">
        <v>206</v>
      </c>
      <c r="E45" s="337" t="s">
        <v>207</v>
      </c>
      <c r="F45" s="43"/>
      <c r="G45" s="1318"/>
      <c r="H45" s="1320" t="s">
        <v>202</v>
      </c>
      <c r="I45" s="1312"/>
      <c r="J45" s="1312"/>
      <c r="K45" s="1312"/>
      <c r="L45" s="1312"/>
      <c r="M45" s="1312"/>
      <c r="N45" s="1312"/>
      <c r="O45" s="1312"/>
      <c r="P45" s="1312"/>
      <c r="Q45" s="1312"/>
      <c r="R45" s="1312"/>
      <c r="S45" s="1312"/>
      <c r="T45" s="1312"/>
      <c r="U45" s="1315" t="s">
        <v>160</v>
      </c>
    </row>
    <row r="46" spans="1:21" ht="18.75">
      <c r="A46" s="1307"/>
      <c r="B46" s="1292"/>
      <c r="C46" s="1307"/>
      <c r="D46" s="1292"/>
      <c r="E46" s="339"/>
      <c r="F46" s="55"/>
      <c r="G46" s="1319"/>
      <c r="H46" s="1321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6"/>
    </row>
    <row r="47" spans="1:21" ht="18.75">
      <c r="A47" s="1308"/>
      <c r="B47" s="1292"/>
      <c r="C47" s="1308"/>
      <c r="D47" s="1292"/>
      <c r="E47" s="214"/>
      <c r="F47" s="45"/>
      <c r="G47" s="1322"/>
      <c r="H47" s="1323"/>
      <c r="I47" s="1314"/>
      <c r="J47" s="1314"/>
      <c r="K47" s="1314"/>
      <c r="L47" s="1314"/>
      <c r="M47" s="1314"/>
      <c r="N47" s="1314"/>
      <c r="O47" s="1314"/>
      <c r="P47" s="1314"/>
      <c r="Q47" s="1314"/>
      <c r="R47" s="1314"/>
      <c r="S47" s="1314"/>
      <c r="T47" s="1314"/>
      <c r="U47" s="1317"/>
    </row>
    <row r="48" spans="5:21" ht="56.25">
      <c r="E48" s="355" t="s">
        <v>139</v>
      </c>
      <c r="F48" s="56">
        <f>F9+F13+F18+F23+F27+F36+F41</f>
        <v>368480</v>
      </c>
      <c r="G48" s="57"/>
      <c r="H48" s="57"/>
      <c r="I48" s="53">
        <f aca="true" t="shared" si="0" ref="I48:T48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ht="18.75">
      <c r="F49" s="59">
        <f>F18+F23+F27</f>
        <v>0</v>
      </c>
    </row>
  </sheetData>
  <sheetProtection/>
  <mergeCells count="194">
    <mergeCell ref="S4:S5"/>
    <mergeCell ref="T4:T5"/>
    <mergeCell ref="N4:N5"/>
    <mergeCell ref="O4:O5"/>
    <mergeCell ref="P4:P5"/>
    <mergeCell ref="Q4:Q5"/>
    <mergeCell ref="R4:R5"/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K6:K8"/>
    <mergeCell ref="A6:A9"/>
    <mergeCell ref="B6:B9"/>
    <mergeCell ref="C6:C9"/>
    <mergeCell ref="D6:D9"/>
    <mergeCell ref="G6:G8"/>
    <mergeCell ref="H6:H8"/>
    <mergeCell ref="U10:U12"/>
    <mergeCell ref="O10:O12"/>
    <mergeCell ref="P10:P12"/>
    <mergeCell ref="Q10:Q12"/>
    <mergeCell ref="R10:R12"/>
    <mergeCell ref="S10:S12"/>
    <mergeCell ref="O6:O8"/>
    <mergeCell ref="P6:P8"/>
    <mergeCell ref="Q6:Q8"/>
    <mergeCell ref="T10:T12"/>
    <mergeCell ref="R6:R8"/>
    <mergeCell ref="S6:S8"/>
    <mergeCell ref="T6:T8"/>
    <mergeCell ref="K14:K18"/>
    <mergeCell ref="U6:U8"/>
    <mergeCell ref="A10:A13"/>
    <mergeCell ref="B10:B13"/>
    <mergeCell ref="C10:C13"/>
    <mergeCell ref="D10:D13"/>
    <mergeCell ref="G10:G12"/>
    <mergeCell ref="L6:L8"/>
    <mergeCell ref="M6:M8"/>
    <mergeCell ref="N6:N8"/>
    <mergeCell ref="N10:N12"/>
    <mergeCell ref="H10:H12"/>
    <mergeCell ref="I10:I12"/>
    <mergeCell ref="J10:J12"/>
    <mergeCell ref="K10:K12"/>
    <mergeCell ref="L10:L12"/>
    <mergeCell ref="M10:M12"/>
    <mergeCell ref="C14:C18"/>
    <mergeCell ref="D14:D18"/>
    <mergeCell ref="G14:G18"/>
    <mergeCell ref="H14:H18"/>
    <mergeCell ref="I14:I18"/>
    <mergeCell ref="J14:J18"/>
    <mergeCell ref="U19:U23"/>
    <mergeCell ref="O19:O23"/>
    <mergeCell ref="P19:P23"/>
    <mergeCell ref="Q19:Q23"/>
    <mergeCell ref="R19:R23"/>
    <mergeCell ref="S19:S23"/>
    <mergeCell ref="P14:P18"/>
    <mergeCell ref="Q14:Q18"/>
    <mergeCell ref="T19:T23"/>
    <mergeCell ref="R14:R18"/>
    <mergeCell ref="S14:S18"/>
    <mergeCell ref="T14:T18"/>
    <mergeCell ref="A19:A23"/>
    <mergeCell ref="B19:B23"/>
    <mergeCell ref="C19:C23"/>
    <mergeCell ref="D19:D23"/>
    <mergeCell ref="G19:G23"/>
    <mergeCell ref="L14:L18"/>
    <mergeCell ref="H19:H23"/>
    <mergeCell ref="I19:I23"/>
    <mergeCell ref="A14:A18"/>
    <mergeCell ref="B14:B18"/>
    <mergeCell ref="K24:K27"/>
    <mergeCell ref="Q24:Q27"/>
    <mergeCell ref="R24:R27"/>
    <mergeCell ref="O24:O27"/>
    <mergeCell ref="P24:P27"/>
    <mergeCell ref="U14:U18"/>
    <mergeCell ref="N19:N23"/>
    <mergeCell ref="M14:M18"/>
    <mergeCell ref="N14:N18"/>
    <mergeCell ref="O14:O18"/>
    <mergeCell ref="T24:T27"/>
    <mergeCell ref="J19:J23"/>
    <mergeCell ref="K19:K23"/>
    <mergeCell ref="L19:L23"/>
    <mergeCell ref="M19:M23"/>
    <mergeCell ref="G28:G36"/>
    <mergeCell ref="I24:I27"/>
    <mergeCell ref="R28:R36"/>
    <mergeCell ref="S28:S36"/>
    <mergeCell ref="J24:J27"/>
    <mergeCell ref="I28:I36"/>
    <mergeCell ref="A24:A27"/>
    <mergeCell ref="B24:B27"/>
    <mergeCell ref="C24:C27"/>
    <mergeCell ref="D24:D27"/>
    <mergeCell ref="G24:G27"/>
    <mergeCell ref="H24:H27"/>
    <mergeCell ref="H37:H39"/>
    <mergeCell ref="S37:S39"/>
    <mergeCell ref="T37:T39"/>
    <mergeCell ref="I37:I39"/>
    <mergeCell ref="L24:L27"/>
    <mergeCell ref="M24:M27"/>
    <mergeCell ref="N24:N27"/>
    <mergeCell ref="M28:M36"/>
    <mergeCell ref="N28:N36"/>
    <mergeCell ref="R37:R39"/>
    <mergeCell ref="A37:A41"/>
    <mergeCell ref="B37:B41"/>
    <mergeCell ref="C37:C41"/>
    <mergeCell ref="D37:D41"/>
    <mergeCell ref="G37:G39"/>
    <mergeCell ref="H28:H36"/>
    <mergeCell ref="A28:A36"/>
    <mergeCell ref="B28:B36"/>
    <mergeCell ref="C28:C36"/>
    <mergeCell ref="D28:D36"/>
    <mergeCell ref="U24:U27"/>
    <mergeCell ref="U28:U36"/>
    <mergeCell ref="O28:O36"/>
    <mergeCell ref="P28:P36"/>
    <mergeCell ref="Q28:Q36"/>
    <mergeCell ref="U37:U39"/>
    <mergeCell ref="O37:O39"/>
    <mergeCell ref="P37:P39"/>
    <mergeCell ref="Q37:Q39"/>
    <mergeCell ref="T28:T36"/>
    <mergeCell ref="M37:M39"/>
    <mergeCell ref="N37:N39"/>
    <mergeCell ref="J42:J44"/>
    <mergeCell ref="K42:K44"/>
    <mergeCell ref="L42:L44"/>
    <mergeCell ref="M42:M44"/>
    <mergeCell ref="N42:N44"/>
    <mergeCell ref="I45:I47"/>
    <mergeCell ref="J45:J47"/>
    <mergeCell ref="K45:K47"/>
    <mergeCell ref="J28:J36"/>
    <mergeCell ref="K28:K36"/>
    <mergeCell ref="L28:L36"/>
    <mergeCell ref="J37:J39"/>
    <mergeCell ref="K37:K39"/>
    <mergeCell ref="L37:L39"/>
    <mergeCell ref="I42:I44"/>
    <mergeCell ref="A45:A47"/>
    <mergeCell ref="B45:B47"/>
    <mergeCell ref="C45:C47"/>
    <mergeCell ref="D45:D47"/>
    <mergeCell ref="G45:G47"/>
    <mergeCell ref="H45:H47"/>
    <mergeCell ref="A42:A44"/>
    <mergeCell ref="B42:B44"/>
    <mergeCell ref="C42:C44"/>
    <mergeCell ref="D42:D44"/>
    <mergeCell ref="G42:G44"/>
    <mergeCell ref="H42:H44"/>
    <mergeCell ref="U42:U44"/>
    <mergeCell ref="O42:O44"/>
    <mergeCell ref="P42:P44"/>
    <mergeCell ref="Q42:Q44"/>
    <mergeCell ref="R42:R44"/>
    <mergeCell ref="S42:S44"/>
    <mergeCell ref="T42:T44"/>
    <mergeCell ref="T45:T47"/>
    <mergeCell ref="U45:U47"/>
    <mergeCell ref="L45:L47"/>
    <mergeCell ref="M45:M47"/>
    <mergeCell ref="N45:N47"/>
    <mergeCell ref="O45:O47"/>
    <mergeCell ref="P45:P47"/>
    <mergeCell ref="Q45:Q47"/>
    <mergeCell ref="R45:R47"/>
    <mergeCell ref="S45:S4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  <rowBreaks count="1" manualBreakCount="1">
    <brk id="1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80" zoomScaleNormal="80" zoomScaleSheetLayoutView="80" zoomScalePageLayoutView="0" workbookViewId="0" topLeftCell="A1">
      <selection activeCell="H2" sqref="H1:U16384"/>
    </sheetView>
  </sheetViews>
  <sheetFormatPr defaultColWidth="9.00390625" defaultRowHeight="15"/>
  <cols>
    <col min="1" max="5" width="22.57421875" style="74" customWidth="1"/>
    <col min="6" max="6" width="8.57421875" style="74" bestFit="1" customWidth="1"/>
    <col min="7" max="7" width="5.57421875" style="74" customWidth="1"/>
    <col min="8" max="8" width="7.8515625" style="74" customWidth="1"/>
    <col min="9" max="20" width="4.00390625" style="74" customWidth="1"/>
    <col min="21" max="21" width="5.421875" style="74" customWidth="1"/>
    <col min="22" max="16384" width="9.00390625" style="74" customWidth="1"/>
  </cols>
  <sheetData>
    <row r="1" spans="1:21" ht="24">
      <c r="A1" s="1309" t="s">
        <v>447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21" ht="24">
      <c r="A2" s="1310" t="s">
        <v>448</v>
      </c>
      <c r="B2" s="1310"/>
      <c r="C2" s="1310"/>
      <c r="D2" s="1310"/>
      <c r="E2" s="236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21.75">
      <c r="A3" s="1357" t="s">
        <v>44</v>
      </c>
      <c r="B3" s="1299" t="s">
        <v>45</v>
      </c>
      <c r="C3" s="1299" t="s">
        <v>46</v>
      </c>
      <c r="D3" s="1299" t="s">
        <v>47</v>
      </c>
      <c r="E3" s="1299" t="s">
        <v>48</v>
      </c>
      <c r="F3" s="1299"/>
      <c r="G3" s="1299"/>
      <c r="H3" s="1299" t="s">
        <v>49</v>
      </c>
      <c r="I3" s="1299" t="s">
        <v>50</v>
      </c>
      <c r="J3" s="1299"/>
      <c r="K3" s="1299"/>
      <c r="L3" s="1299"/>
      <c r="M3" s="1299"/>
      <c r="N3" s="1299"/>
      <c r="O3" s="1299"/>
      <c r="P3" s="1299"/>
      <c r="Q3" s="1299"/>
      <c r="R3" s="1299"/>
      <c r="S3" s="1299"/>
      <c r="T3" s="1299"/>
      <c r="U3" s="1357" t="s">
        <v>153</v>
      </c>
    </row>
    <row r="4" spans="1:21" ht="14.25" customHeight="1">
      <c r="A4" s="1362"/>
      <c r="B4" s="1299"/>
      <c r="C4" s="1299"/>
      <c r="D4" s="1299"/>
      <c r="E4" s="1357" t="s">
        <v>52</v>
      </c>
      <c r="F4" s="1359" t="s">
        <v>53</v>
      </c>
      <c r="G4" s="1361" t="s">
        <v>54</v>
      </c>
      <c r="H4" s="1299"/>
      <c r="I4" s="1299" t="s">
        <v>55</v>
      </c>
      <c r="J4" s="1299" t="s">
        <v>56</v>
      </c>
      <c r="K4" s="1299" t="s">
        <v>57</v>
      </c>
      <c r="L4" s="1299" t="s">
        <v>58</v>
      </c>
      <c r="M4" s="1299" t="s">
        <v>59</v>
      </c>
      <c r="N4" s="1299" t="s">
        <v>60</v>
      </c>
      <c r="O4" s="1299" t="s">
        <v>61</v>
      </c>
      <c r="P4" s="1299" t="s">
        <v>62</v>
      </c>
      <c r="Q4" s="1299" t="s">
        <v>63</v>
      </c>
      <c r="R4" s="1299" t="s">
        <v>64</v>
      </c>
      <c r="S4" s="1299" t="s">
        <v>65</v>
      </c>
      <c r="T4" s="1299" t="s">
        <v>66</v>
      </c>
      <c r="U4" s="1362"/>
    </row>
    <row r="5" spans="1:21" ht="21.75" customHeight="1">
      <c r="A5" s="1358"/>
      <c r="B5" s="1299"/>
      <c r="C5" s="1299"/>
      <c r="D5" s="1299"/>
      <c r="E5" s="1358"/>
      <c r="F5" s="1360"/>
      <c r="G5" s="1361"/>
      <c r="H5" s="1299"/>
      <c r="I5" s="1299"/>
      <c r="J5" s="1299"/>
      <c r="K5" s="1299"/>
      <c r="L5" s="1299"/>
      <c r="M5" s="1299"/>
      <c r="N5" s="1299"/>
      <c r="O5" s="1299"/>
      <c r="P5" s="1299"/>
      <c r="Q5" s="1299"/>
      <c r="R5" s="1299"/>
      <c r="S5" s="1299"/>
      <c r="T5" s="1299"/>
      <c r="U5" s="1358"/>
    </row>
    <row r="6" spans="1:21" s="29" customFormat="1" ht="112.5">
      <c r="A6" s="1289" t="s">
        <v>449</v>
      </c>
      <c r="B6" s="319" t="s">
        <v>450</v>
      </c>
      <c r="C6" s="319" t="s">
        <v>451</v>
      </c>
      <c r="D6" s="1289" t="s">
        <v>452</v>
      </c>
      <c r="E6" s="202" t="s">
        <v>453</v>
      </c>
      <c r="F6" s="203">
        <v>24000</v>
      </c>
      <c r="G6" s="295" t="s">
        <v>454</v>
      </c>
      <c r="H6" s="483"/>
      <c r="I6" s="324"/>
      <c r="J6" s="484">
        <v>4000</v>
      </c>
      <c r="K6" s="484">
        <v>3000</v>
      </c>
      <c r="L6" s="484">
        <v>4000</v>
      </c>
      <c r="M6" s="484">
        <v>3000</v>
      </c>
      <c r="N6" s="484">
        <v>4000</v>
      </c>
      <c r="O6" s="484">
        <v>4000</v>
      </c>
      <c r="P6" s="484">
        <v>4000</v>
      </c>
      <c r="Q6" s="484">
        <v>4000</v>
      </c>
      <c r="R6" s="484">
        <v>3000</v>
      </c>
      <c r="S6" s="484">
        <v>4000</v>
      </c>
      <c r="T6" s="484">
        <v>4000</v>
      </c>
      <c r="U6" s="485" t="s">
        <v>455</v>
      </c>
    </row>
    <row r="7" spans="1:21" s="29" customFormat="1" ht="75">
      <c r="A7" s="1290"/>
      <c r="B7" s="329"/>
      <c r="C7" s="329"/>
      <c r="D7" s="1290"/>
      <c r="E7" s="202" t="s">
        <v>456</v>
      </c>
      <c r="F7" s="203">
        <v>12000</v>
      </c>
      <c r="G7" s="293"/>
      <c r="H7" s="294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31"/>
    </row>
    <row r="8" spans="1:21" s="29" customFormat="1" ht="193.5" customHeight="1">
      <c r="A8" s="1290"/>
      <c r="B8" s="329"/>
      <c r="C8" s="329"/>
      <c r="D8" s="329"/>
      <c r="E8" s="210" t="s">
        <v>457</v>
      </c>
      <c r="F8" s="203">
        <v>5000</v>
      </c>
      <c r="G8" s="317"/>
      <c r="H8" s="48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18"/>
    </row>
    <row r="9" spans="1:21" s="29" customFormat="1" ht="18.75">
      <c r="A9" s="307"/>
      <c r="B9" s="307"/>
      <c r="C9" s="307"/>
      <c r="D9" s="307"/>
      <c r="E9" s="279" t="s">
        <v>4</v>
      </c>
      <c r="F9" s="280">
        <f>SUM(F6:F8)</f>
        <v>41000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42.75" customHeight="1">
      <c r="A10" s="1286" t="s">
        <v>458</v>
      </c>
      <c r="B10" s="319"/>
      <c r="C10" s="319"/>
      <c r="D10" s="1289" t="s">
        <v>459</v>
      </c>
      <c r="E10" s="202" t="s">
        <v>460</v>
      </c>
      <c r="F10" s="203">
        <v>6400</v>
      </c>
      <c r="G10" s="1261" t="s">
        <v>454</v>
      </c>
      <c r="H10" s="483"/>
      <c r="I10" s="484"/>
      <c r="J10" s="484"/>
      <c r="K10" s="484"/>
      <c r="L10" s="484"/>
      <c r="M10" s="484"/>
      <c r="N10" s="1351">
        <v>3600</v>
      </c>
      <c r="O10" s="484"/>
      <c r="P10" s="1351">
        <v>3600</v>
      </c>
      <c r="Q10" s="484"/>
      <c r="R10" s="484"/>
      <c r="S10" s="1351">
        <v>2400</v>
      </c>
      <c r="T10" s="484"/>
      <c r="U10" s="485" t="s">
        <v>461</v>
      </c>
    </row>
    <row r="11" spans="1:21" s="29" customFormat="1" ht="75">
      <c r="A11" s="1287"/>
      <c r="B11" s="329"/>
      <c r="C11" s="329"/>
      <c r="D11" s="1290"/>
      <c r="E11" s="202" t="s">
        <v>462</v>
      </c>
      <c r="F11" s="203">
        <v>3200</v>
      </c>
      <c r="G11" s="1282"/>
      <c r="H11" s="294"/>
      <c r="I11" s="487"/>
      <c r="J11" s="487"/>
      <c r="K11" s="487"/>
      <c r="L11" s="487"/>
      <c r="M11" s="487"/>
      <c r="N11" s="1352"/>
      <c r="O11" s="487"/>
      <c r="P11" s="1352"/>
      <c r="Q11" s="487"/>
      <c r="R11" s="487"/>
      <c r="S11" s="1352"/>
      <c r="T11" s="487"/>
      <c r="U11" s="331"/>
    </row>
    <row r="12" spans="1:21" s="29" customFormat="1" ht="18.75">
      <c r="A12" s="1288"/>
      <c r="B12" s="307"/>
      <c r="C12" s="307"/>
      <c r="D12" s="1291"/>
      <c r="E12" s="279" t="s">
        <v>4</v>
      </c>
      <c r="F12" s="280">
        <f>SUM(F10:F11)</f>
        <v>9600</v>
      </c>
      <c r="G12" s="281"/>
      <c r="H12" s="281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281"/>
    </row>
    <row r="13" spans="1:21" s="29" customFormat="1" ht="33" customHeight="1">
      <c r="A13" s="1286" t="s">
        <v>463</v>
      </c>
      <c r="B13" s="319"/>
      <c r="C13" s="319"/>
      <c r="D13" s="1289" t="s">
        <v>464</v>
      </c>
      <c r="E13" s="202" t="s">
        <v>465</v>
      </c>
      <c r="F13" s="321">
        <v>4000</v>
      </c>
      <c r="G13" s="1353" t="s">
        <v>454</v>
      </c>
      <c r="H13" s="284"/>
      <c r="I13" s="488"/>
      <c r="J13" s="488"/>
      <c r="K13" s="488"/>
      <c r="L13" s="488"/>
      <c r="M13" s="488"/>
      <c r="N13" s="488"/>
      <c r="O13" s="488"/>
      <c r="P13" s="488"/>
      <c r="Q13" s="1355">
        <v>6000</v>
      </c>
      <c r="R13" s="488"/>
      <c r="S13" s="488"/>
      <c r="T13" s="488"/>
      <c r="U13" s="284" t="s">
        <v>466</v>
      </c>
    </row>
    <row r="14" spans="1:21" s="29" customFormat="1" ht="75">
      <c r="A14" s="1287"/>
      <c r="B14" s="329"/>
      <c r="C14" s="329"/>
      <c r="D14" s="1290"/>
      <c r="E14" s="202" t="s">
        <v>467</v>
      </c>
      <c r="F14" s="321">
        <v>2000</v>
      </c>
      <c r="G14" s="1354"/>
      <c r="H14" s="284"/>
      <c r="I14" s="488"/>
      <c r="J14" s="488"/>
      <c r="K14" s="488"/>
      <c r="L14" s="488"/>
      <c r="M14" s="488"/>
      <c r="N14" s="488"/>
      <c r="O14" s="488"/>
      <c r="P14" s="488"/>
      <c r="Q14" s="1356"/>
      <c r="R14" s="488"/>
      <c r="S14" s="488"/>
      <c r="T14" s="488"/>
      <c r="U14" s="284"/>
    </row>
    <row r="15" spans="1:21" s="29" customFormat="1" ht="18.75">
      <c r="A15" s="1288"/>
      <c r="B15" s="307"/>
      <c r="C15" s="307"/>
      <c r="D15" s="1291"/>
      <c r="E15" s="279" t="s">
        <v>4</v>
      </c>
      <c r="F15" s="280">
        <f>SUM(F13:F14)</f>
        <v>6000</v>
      </c>
      <c r="G15" s="284"/>
      <c r="H15" s="284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284"/>
    </row>
    <row r="16" spans="1:21" s="29" customFormat="1" ht="33" customHeight="1">
      <c r="A16" s="1287" t="s">
        <v>468</v>
      </c>
      <c r="B16" s="329"/>
      <c r="C16" s="329"/>
      <c r="D16" s="1289" t="s">
        <v>469</v>
      </c>
      <c r="E16" s="202" t="s">
        <v>470</v>
      </c>
      <c r="F16" s="321">
        <v>8000</v>
      </c>
      <c r="G16" s="1261" t="s">
        <v>454</v>
      </c>
      <c r="H16" s="483"/>
      <c r="I16" s="489"/>
      <c r="J16" s="1272">
        <v>12000</v>
      </c>
      <c r="K16" s="484"/>
      <c r="L16" s="489"/>
      <c r="M16" s="489"/>
      <c r="N16" s="489"/>
      <c r="O16" s="489"/>
      <c r="P16" s="489"/>
      <c r="Q16" s="489"/>
      <c r="R16" s="484"/>
      <c r="S16" s="489"/>
      <c r="T16" s="489"/>
      <c r="U16" s="330" t="s">
        <v>466</v>
      </c>
    </row>
    <row r="17" spans="1:21" s="29" customFormat="1" ht="75">
      <c r="A17" s="1287"/>
      <c r="B17" s="329"/>
      <c r="C17" s="329"/>
      <c r="D17" s="1290"/>
      <c r="E17" s="202" t="s">
        <v>471</v>
      </c>
      <c r="F17" s="321">
        <v>4000</v>
      </c>
      <c r="G17" s="1262"/>
      <c r="H17" s="294"/>
      <c r="I17" s="490"/>
      <c r="J17" s="1273"/>
      <c r="K17" s="487"/>
      <c r="L17" s="490"/>
      <c r="M17" s="490"/>
      <c r="N17" s="490"/>
      <c r="O17" s="490"/>
      <c r="P17" s="490"/>
      <c r="Q17" s="490"/>
      <c r="R17" s="487"/>
      <c r="S17" s="490"/>
      <c r="T17" s="490"/>
      <c r="U17" s="331"/>
    </row>
    <row r="18" spans="1:21" s="29" customFormat="1" ht="23.25" customHeight="1">
      <c r="A18" s="313"/>
      <c r="B18" s="307"/>
      <c r="C18" s="307"/>
      <c r="D18" s="1291"/>
      <c r="E18" s="279" t="s">
        <v>4</v>
      </c>
      <c r="F18" s="280">
        <f>SUM(F16:F17)</f>
        <v>12000</v>
      </c>
      <c r="G18" s="293"/>
      <c r="H18" s="294"/>
      <c r="I18" s="490"/>
      <c r="J18" s="490"/>
      <c r="K18" s="487"/>
      <c r="L18" s="490"/>
      <c r="M18" s="490"/>
      <c r="N18" s="490"/>
      <c r="O18" s="490"/>
      <c r="P18" s="490"/>
      <c r="Q18" s="490"/>
      <c r="R18" s="487"/>
      <c r="S18" s="490"/>
      <c r="T18" s="490"/>
      <c r="U18" s="331"/>
    </row>
    <row r="19" spans="1:21" s="29" customFormat="1" ht="50.25" customHeight="1">
      <c r="A19" s="491"/>
      <c r="B19" s="491"/>
      <c r="C19" s="491"/>
      <c r="D19" s="492"/>
      <c r="E19" s="355" t="s">
        <v>139</v>
      </c>
      <c r="F19" s="356">
        <f>F9+F12+F15+F18</f>
        <v>68600</v>
      </c>
      <c r="G19" s="291"/>
      <c r="H19" s="291"/>
      <c r="I19" s="282">
        <f aca="true" t="shared" si="0" ref="I19:T19">SUM(I6:I18)</f>
        <v>0</v>
      </c>
      <c r="J19" s="316">
        <f t="shared" si="0"/>
        <v>16000</v>
      </c>
      <c r="K19" s="316">
        <f t="shared" si="0"/>
        <v>3000</v>
      </c>
      <c r="L19" s="316">
        <f t="shared" si="0"/>
        <v>4000</v>
      </c>
      <c r="M19" s="316">
        <f t="shared" si="0"/>
        <v>3000</v>
      </c>
      <c r="N19" s="316">
        <f t="shared" si="0"/>
        <v>7600</v>
      </c>
      <c r="O19" s="316">
        <f t="shared" si="0"/>
        <v>4000</v>
      </c>
      <c r="P19" s="316">
        <f t="shared" si="0"/>
        <v>7600</v>
      </c>
      <c r="Q19" s="316">
        <f t="shared" si="0"/>
        <v>10000</v>
      </c>
      <c r="R19" s="316">
        <f t="shared" si="0"/>
        <v>3000</v>
      </c>
      <c r="S19" s="316">
        <f t="shared" si="0"/>
        <v>6400</v>
      </c>
      <c r="T19" s="316">
        <f t="shared" si="0"/>
        <v>4000</v>
      </c>
      <c r="U19" s="493"/>
    </row>
    <row r="21" spans="1:5" ht="21.75">
      <c r="A21" s="143" t="s">
        <v>140</v>
      </c>
      <c r="B21" s="1250" t="s">
        <v>141</v>
      </c>
      <c r="C21" s="1250"/>
      <c r="D21" s="1250"/>
      <c r="E21" s="1250"/>
    </row>
  </sheetData>
  <sheetProtection/>
  <mergeCells count="42">
    <mergeCell ref="R4:R5"/>
    <mergeCell ref="S4:S5"/>
    <mergeCell ref="T4:T5"/>
    <mergeCell ref="O4:O5"/>
    <mergeCell ref="P4:P5"/>
    <mergeCell ref="Q4:Q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A10:A12"/>
    <mergeCell ref="D10:D12"/>
    <mergeCell ref="G10:G11"/>
    <mergeCell ref="N10:N11"/>
    <mergeCell ref="P10:P11"/>
    <mergeCell ref="A6:A8"/>
    <mergeCell ref="D6:D7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</mergeCells>
  <printOptions/>
  <pageMargins left="0.25" right="0.25" top="0.75" bottom="0.75" header="0.3" footer="0.3"/>
  <pageSetup fitToHeight="0" fitToWidth="1" horizontalDpi="600" verticalDpi="600" orientation="landscape" paperSize="9" scale="71" r:id="rId1"/>
  <rowBreaks count="1" manualBreakCount="1">
    <brk id="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C1">
      <selection activeCell="H2" sqref="H1:U16384"/>
    </sheetView>
  </sheetViews>
  <sheetFormatPr defaultColWidth="9.140625" defaultRowHeight="15"/>
  <cols>
    <col min="1" max="5" width="22.57421875" style="0" customWidth="1"/>
    <col min="6" max="6" width="7.140625" style="0" bestFit="1" customWidth="1"/>
    <col min="7" max="7" width="7.8515625" style="0" bestFit="1" customWidth="1"/>
    <col min="8" max="8" width="9.421875" style="0" customWidth="1"/>
    <col min="9" max="20" width="4.00390625" style="0" customWidth="1"/>
    <col min="21" max="21" width="5.57421875" style="0" customWidth="1"/>
  </cols>
  <sheetData>
    <row r="1" spans="1:21" ht="24">
      <c r="A1" s="1309" t="s">
        <v>41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  <c r="T1" s="1309"/>
      <c r="U1" s="1309"/>
    </row>
    <row r="2" spans="1:5" ht="24">
      <c r="A2" s="1310" t="s">
        <v>395</v>
      </c>
      <c r="B2" s="1310"/>
      <c r="C2" s="1310"/>
      <c r="D2" s="1310"/>
      <c r="E2" s="28"/>
    </row>
    <row r="3" spans="1:21" ht="21.75">
      <c r="A3" s="1357" t="s">
        <v>44</v>
      </c>
      <c r="B3" s="1299" t="s">
        <v>45</v>
      </c>
      <c r="C3" s="1299" t="s">
        <v>46</v>
      </c>
      <c r="D3" s="1299" t="s">
        <v>47</v>
      </c>
      <c r="E3" s="1299" t="s">
        <v>48</v>
      </c>
      <c r="F3" s="1299"/>
      <c r="G3" s="1299"/>
      <c r="H3" s="1299" t="s">
        <v>1424</v>
      </c>
      <c r="I3" s="1299" t="s">
        <v>50</v>
      </c>
      <c r="J3" s="1299"/>
      <c r="K3" s="1299"/>
      <c r="L3" s="1299"/>
      <c r="M3" s="1299"/>
      <c r="N3" s="1299"/>
      <c r="O3" s="1299"/>
      <c r="P3" s="1299"/>
      <c r="Q3" s="1299"/>
      <c r="R3" s="1299"/>
      <c r="S3" s="1299"/>
      <c r="T3" s="1299"/>
      <c r="U3" s="1357" t="s">
        <v>396</v>
      </c>
    </row>
    <row r="4" spans="1:21" ht="14.25" customHeight="1">
      <c r="A4" s="1362"/>
      <c r="B4" s="1299"/>
      <c r="C4" s="1299"/>
      <c r="D4" s="1299"/>
      <c r="E4" s="1357" t="s">
        <v>52</v>
      </c>
      <c r="F4" s="1359" t="s">
        <v>53</v>
      </c>
      <c r="G4" s="1361" t="s">
        <v>54</v>
      </c>
      <c r="H4" s="1299"/>
      <c r="I4" s="1299" t="s">
        <v>55</v>
      </c>
      <c r="J4" s="1299" t="s">
        <v>56</v>
      </c>
      <c r="K4" s="1299" t="s">
        <v>57</v>
      </c>
      <c r="L4" s="1299" t="s">
        <v>58</v>
      </c>
      <c r="M4" s="1299" t="s">
        <v>59</v>
      </c>
      <c r="N4" s="1299" t="s">
        <v>60</v>
      </c>
      <c r="O4" s="1299" t="s">
        <v>61</v>
      </c>
      <c r="P4" s="1299" t="s">
        <v>62</v>
      </c>
      <c r="Q4" s="1299" t="s">
        <v>63</v>
      </c>
      <c r="R4" s="1299" t="s">
        <v>64</v>
      </c>
      <c r="S4" s="1299" t="s">
        <v>65</v>
      </c>
      <c r="T4" s="1299" t="s">
        <v>66</v>
      </c>
      <c r="U4" s="1362"/>
    </row>
    <row r="5" spans="1:21" ht="21.75" customHeight="1">
      <c r="A5" s="1358"/>
      <c r="B5" s="1299"/>
      <c r="C5" s="1299"/>
      <c r="D5" s="1299"/>
      <c r="E5" s="1358"/>
      <c r="F5" s="1360"/>
      <c r="G5" s="1361"/>
      <c r="H5" s="1299"/>
      <c r="I5" s="1299"/>
      <c r="J5" s="1299"/>
      <c r="K5" s="1299"/>
      <c r="L5" s="1299"/>
      <c r="M5" s="1299"/>
      <c r="N5" s="1299"/>
      <c r="O5" s="1299"/>
      <c r="P5" s="1299"/>
      <c r="Q5" s="1299"/>
      <c r="R5" s="1299"/>
      <c r="S5" s="1299"/>
      <c r="T5" s="1299"/>
      <c r="U5" s="1358"/>
    </row>
    <row r="6" spans="1:21" s="29" customFormat="1" ht="33.75" customHeight="1">
      <c r="A6" s="1306" t="s">
        <v>562</v>
      </c>
      <c r="B6" s="1292" t="s">
        <v>397</v>
      </c>
      <c r="C6" s="1306" t="s">
        <v>398</v>
      </c>
      <c r="D6" s="1292" t="s">
        <v>399</v>
      </c>
      <c r="E6" s="1369" t="s">
        <v>400</v>
      </c>
      <c r="F6" s="1372">
        <v>0</v>
      </c>
      <c r="G6" s="1337" t="s">
        <v>77</v>
      </c>
      <c r="H6" s="1275" t="s">
        <v>401</v>
      </c>
      <c r="I6" s="1279"/>
      <c r="J6" s="1279"/>
      <c r="K6" s="1279"/>
      <c r="L6" s="1279"/>
      <c r="M6" s="1279"/>
      <c r="N6" s="1279"/>
      <c r="O6" s="1363"/>
      <c r="P6" s="1279"/>
      <c r="Q6" s="1279"/>
      <c r="R6" s="1279"/>
      <c r="S6" s="1279"/>
      <c r="T6" s="1279"/>
      <c r="U6" s="1276" t="s">
        <v>402</v>
      </c>
    </row>
    <row r="7" spans="1:21" s="29" customFormat="1" ht="18.75">
      <c r="A7" s="1307"/>
      <c r="B7" s="1292"/>
      <c r="C7" s="1307"/>
      <c r="D7" s="1292"/>
      <c r="E7" s="1370"/>
      <c r="F7" s="1373"/>
      <c r="G7" s="1338"/>
      <c r="H7" s="1284"/>
      <c r="I7" s="1280"/>
      <c r="J7" s="1280"/>
      <c r="K7" s="1280"/>
      <c r="L7" s="1280"/>
      <c r="M7" s="1280"/>
      <c r="N7" s="1280"/>
      <c r="O7" s="1364"/>
      <c r="P7" s="1280"/>
      <c r="Q7" s="1280"/>
      <c r="R7" s="1280"/>
      <c r="S7" s="1280"/>
      <c r="T7" s="1280"/>
      <c r="U7" s="1277"/>
    </row>
    <row r="8" spans="1:21" s="29" customFormat="1" ht="18.75">
      <c r="A8" s="1307"/>
      <c r="B8" s="1292"/>
      <c r="C8" s="1307"/>
      <c r="D8" s="1292"/>
      <c r="E8" s="1371"/>
      <c r="F8" s="1374"/>
      <c r="G8" s="1339"/>
      <c r="H8" s="1284"/>
      <c r="I8" s="1280"/>
      <c r="J8" s="1280"/>
      <c r="K8" s="1281"/>
      <c r="L8" s="1281"/>
      <c r="M8" s="1281"/>
      <c r="N8" s="1281"/>
      <c r="O8" s="1380"/>
      <c r="P8" s="1281"/>
      <c r="Q8" s="1281"/>
      <c r="R8" s="1281"/>
      <c r="S8" s="1281"/>
      <c r="T8" s="1281"/>
      <c r="U8" s="1277"/>
    </row>
    <row r="9" spans="1:21" s="29" customFormat="1" ht="42.75" customHeight="1">
      <c r="A9" s="1308"/>
      <c r="B9" s="1292"/>
      <c r="C9" s="1308"/>
      <c r="D9" s="1292"/>
      <c r="E9" s="279" t="s">
        <v>4</v>
      </c>
      <c r="F9" s="280">
        <f>SUM(F6:F8)</f>
        <v>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31.5" customHeight="1">
      <c r="A10" s="1286" t="s">
        <v>403</v>
      </c>
      <c r="B10" s="1289" t="s">
        <v>404</v>
      </c>
      <c r="C10" s="1289" t="s">
        <v>405</v>
      </c>
      <c r="D10" s="1292" t="s">
        <v>406</v>
      </c>
      <c r="E10" s="1369" t="s">
        <v>407</v>
      </c>
      <c r="F10" s="1372">
        <v>3600</v>
      </c>
      <c r="G10" s="1337" t="s">
        <v>77</v>
      </c>
      <c r="H10" s="1275" t="s">
        <v>401</v>
      </c>
      <c r="I10" s="1279"/>
      <c r="J10" s="1279"/>
      <c r="K10" s="1279"/>
      <c r="L10" s="1279"/>
      <c r="M10" s="1279"/>
      <c r="N10" s="1279"/>
      <c r="O10" s="1279"/>
      <c r="P10" s="1279"/>
      <c r="Q10" s="1279"/>
      <c r="R10" s="1279"/>
      <c r="S10" s="1363">
        <v>3600</v>
      </c>
      <c r="T10" s="1279"/>
      <c r="U10" s="1276" t="s">
        <v>402</v>
      </c>
    </row>
    <row r="11" spans="1:21" s="29" customFormat="1" ht="18.75">
      <c r="A11" s="1287"/>
      <c r="B11" s="1290"/>
      <c r="C11" s="1290"/>
      <c r="D11" s="1292"/>
      <c r="E11" s="1370"/>
      <c r="F11" s="1373"/>
      <c r="G11" s="1338"/>
      <c r="H11" s="1284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364"/>
      <c r="T11" s="1280"/>
      <c r="U11" s="1277"/>
    </row>
    <row r="12" spans="1:21" s="29" customFormat="1" ht="38.25" customHeight="1">
      <c r="A12" s="1287"/>
      <c r="B12" s="1290"/>
      <c r="C12" s="1290"/>
      <c r="D12" s="1292"/>
      <c r="E12" s="1371"/>
      <c r="F12" s="1374"/>
      <c r="G12" s="1339"/>
      <c r="H12" s="1284"/>
      <c r="I12" s="1280"/>
      <c r="J12" s="1280"/>
      <c r="K12" s="1280"/>
      <c r="L12" s="1280"/>
      <c r="M12" s="1280"/>
      <c r="N12" s="1280"/>
      <c r="O12" s="1280"/>
      <c r="P12" s="1280"/>
      <c r="Q12" s="1280"/>
      <c r="R12" s="1280"/>
      <c r="S12" s="1364"/>
      <c r="T12" s="1280"/>
      <c r="U12" s="1277"/>
    </row>
    <row r="13" spans="1:21" s="29" customFormat="1" ht="18.75">
      <c r="A13" s="1288"/>
      <c r="B13" s="1291"/>
      <c r="C13" s="1291"/>
      <c r="D13" s="1292"/>
      <c r="E13" s="279" t="s">
        <v>4</v>
      </c>
      <c r="F13" s="280">
        <v>3600</v>
      </c>
      <c r="G13" s="281"/>
      <c r="H13" s="281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1"/>
    </row>
    <row r="14" spans="1:21" s="29" customFormat="1" ht="33" customHeight="1">
      <c r="A14" s="1289" t="s">
        <v>408</v>
      </c>
      <c r="B14" s="1289" t="s">
        <v>409</v>
      </c>
      <c r="C14" s="1289" t="s">
        <v>410</v>
      </c>
      <c r="D14" s="1289" t="s">
        <v>411</v>
      </c>
      <c r="E14" s="1369" t="s">
        <v>412</v>
      </c>
      <c r="F14" s="1372">
        <v>6000</v>
      </c>
      <c r="G14" s="1337" t="s">
        <v>77</v>
      </c>
      <c r="H14" s="1275" t="s">
        <v>401</v>
      </c>
      <c r="I14" s="285"/>
      <c r="J14" s="285"/>
      <c r="K14" s="1279"/>
      <c r="L14" s="285"/>
      <c r="M14" s="285"/>
      <c r="N14" s="285"/>
      <c r="O14" s="285"/>
      <c r="P14" s="285"/>
      <c r="Q14" s="285"/>
      <c r="R14" s="1279"/>
      <c r="S14" s="1363">
        <v>6000</v>
      </c>
      <c r="T14" s="285"/>
      <c r="U14" s="1276" t="s">
        <v>402</v>
      </c>
    </row>
    <row r="15" spans="1:21" s="29" customFormat="1" ht="18.75">
      <c r="A15" s="1290"/>
      <c r="B15" s="1290"/>
      <c r="C15" s="1290"/>
      <c r="D15" s="1290"/>
      <c r="E15" s="1378"/>
      <c r="F15" s="1373"/>
      <c r="G15" s="1338"/>
      <c r="H15" s="1284"/>
      <c r="I15" s="286"/>
      <c r="J15" s="286"/>
      <c r="K15" s="1280"/>
      <c r="L15" s="286"/>
      <c r="M15" s="286"/>
      <c r="N15" s="286"/>
      <c r="O15" s="286"/>
      <c r="P15" s="286"/>
      <c r="Q15" s="286"/>
      <c r="R15" s="1280"/>
      <c r="S15" s="1364"/>
      <c r="T15" s="286"/>
      <c r="U15" s="1277"/>
    </row>
    <row r="16" spans="1:21" s="29" customFormat="1" ht="18.75">
      <c r="A16" s="1290"/>
      <c r="B16" s="1290"/>
      <c r="C16" s="1290"/>
      <c r="D16" s="1290"/>
      <c r="E16" s="1378"/>
      <c r="F16" s="1373"/>
      <c r="G16" s="1338"/>
      <c r="H16" s="1284"/>
      <c r="I16" s="286"/>
      <c r="J16" s="286"/>
      <c r="K16" s="1280"/>
      <c r="L16" s="286"/>
      <c r="M16" s="286"/>
      <c r="N16" s="286"/>
      <c r="O16" s="286"/>
      <c r="P16" s="286"/>
      <c r="Q16" s="286"/>
      <c r="R16" s="1280"/>
      <c r="S16" s="1364"/>
      <c r="T16" s="286"/>
      <c r="U16" s="1277"/>
    </row>
    <row r="17" spans="1:21" s="29" customFormat="1" ht="18.75">
      <c r="A17" s="1290"/>
      <c r="B17" s="1290"/>
      <c r="C17" s="1290"/>
      <c r="D17" s="1290"/>
      <c r="E17" s="1379"/>
      <c r="F17" s="1374"/>
      <c r="G17" s="1365"/>
      <c r="H17" s="1375"/>
      <c r="I17" s="286"/>
      <c r="J17" s="286"/>
      <c r="K17" s="278"/>
      <c r="L17" s="286"/>
      <c r="M17" s="286"/>
      <c r="N17" s="286"/>
      <c r="O17" s="286"/>
      <c r="P17" s="286"/>
      <c r="Q17" s="286"/>
      <c r="R17" s="1280"/>
      <c r="S17" s="286"/>
      <c r="T17" s="286"/>
      <c r="U17" s="1277"/>
    </row>
    <row r="18" spans="1:21" s="29" customFormat="1" ht="18.75">
      <c r="A18" s="1291"/>
      <c r="B18" s="1291"/>
      <c r="C18" s="1291"/>
      <c r="D18" s="1291"/>
      <c r="E18" s="287" t="s">
        <v>4</v>
      </c>
      <c r="F18" s="280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9" customFormat="1" ht="33" customHeight="1">
      <c r="A19" s="1289" t="s">
        <v>413</v>
      </c>
      <c r="B19" s="1289" t="s">
        <v>414</v>
      </c>
      <c r="C19" s="1289" t="s">
        <v>415</v>
      </c>
      <c r="D19" s="1289" t="s">
        <v>416</v>
      </c>
      <c r="E19" s="1369" t="s">
        <v>417</v>
      </c>
      <c r="F19" s="1372">
        <v>0</v>
      </c>
      <c r="G19" s="1337" t="s">
        <v>77</v>
      </c>
      <c r="H19" s="1275" t="s">
        <v>401</v>
      </c>
      <c r="I19" s="285"/>
      <c r="J19" s="285"/>
      <c r="K19" s="1279"/>
      <c r="L19" s="285"/>
      <c r="M19" s="285"/>
      <c r="N19" s="285"/>
      <c r="O19" s="285"/>
      <c r="P19" s="285"/>
      <c r="Q19" s="285"/>
      <c r="R19" s="1279"/>
      <c r="S19" s="1363"/>
      <c r="T19" s="285"/>
      <c r="U19" s="1276" t="s">
        <v>402</v>
      </c>
    </row>
    <row r="20" spans="1:21" s="29" customFormat="1" ht="18.75">
      <c r="A20" s="1290"/>
      <c r="B20" s="1290"/>
      <c r="C20" s="1290"/>
      <c r="D20" s="1290"/>
      <c r="E20" s="1370"/>
      <c r="F20" s="1373"/>
      <c r="G20" s="1338"/>
      <c r="H20" s="1284"/>
      <c r="I20" s="286"/>
      <c r="J20" s="286"/>
      <c r="K20" s="1280"/>
      <c r="L20" s="286"/>
      <c r="M20" s="286"/>
      <c r="N20" s="286"/>
      <c r="O20" s="286"/>
      <c r="P20" s="286"/>
      <c r="Q20" s="286"/>
      <c r="R20" s="1280"/>
      <c r="S20" s="1364"/>
      <c r="T20" s="286"/>
      <c r="U20" s="1277"/>
    </row>
    <row r="21" spans="1:21" s="29" customFormat="1" ht="18.75">
      <c r="A21" s="1290"/>
      <c r="B21" s="1290"/>
      <c r="C21" s="1290"/>
      <c r="D21" s="1290"/>
      <c r="E21" s="1370"/>
      <c r="F21" s="1373"/>
      <c r="G21" s="1338"/>
      <c r="H21" s="1284"/>
      <c r="I21" s="286"/>
      <c r="J21" s="286"/>
      <c r="K21" s="1280"/>
      <c r="L21" s="286"/>
      <c r="M21" s="286"/>
      <c r="N21" s="286"/>
      <c r="O21" s="286"/>
      <c r="P21" s="286"/>
      <c r="Q21" s="286"/>
      <c r="R21" s="1280"/>
      <c r="S21" s="1364"/>
      <c r="T21" s="286"/>
      <c r="U21" s="1277"/>
    </row>
    <row r="22" spans="1:21" s="29" customFormat="1" ht="18.75">
      <c r="A22" s="1290"/>
      <c r="B22" s="1290"/>
      <c r="C22" s="1290"/>
      <c r="D22" s="1290"/>
      <c r="E22" s="1371"/>
      <c r="F22" s="1374"/>
      <c r="G22" s="1365"/>
      <c r="H22" s="1375"/>
      <c r="I22" s="286"/>
      <c r="J22" s="286"/>
      <c r="K22" s="278"/>
      <c r="L22" s="286"/>
      <c r="M22" s="286"/>
      <c r="N22" s="286"/>
      <c r="O22" s="286"/>
      <c r="P22" s="286"/>
      <c r="Q22" s="286"/>
      <c r="R22" s="1280"/>
      <c r="S22" s="286"/>
      <c r="T22" s="286"/>
      <c r="U22" s="1277"/>
    </row>
    <row r="23" spans="1:21" s="29" customFormat="1" ht="18.75">
      <c r="A23" s="1291"/>
      <c r="B23" s="1291"/>
      <c r="C23" s="1291"/>
      <c r="D23" s="1291"/>
      <c r="E23" s="287" t="s">
        <v>4</v>
      </c>
      <c r="F23" s="280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9" customFormat="1" ht="33" customHeight="1">
      <c r="A24" s="1289" t="s">
        <v>418</v>
      </c>
      <c r="B24" s="1289" t="s">
        <v>419</v>
      </c>
      <c r="C24" s="1289" t="s">
        <v>420</v>
      </c>
      <c r="D24" s="1289" t="s">
        <v>421</v>
      </c>
      <c r="E24" s="1369" t="s">
        <v>417</v>
      </c>
      <c r="F24" s="1372">
        <v>0</v>
      </c>
      <c r="G24" s="1337" t="s">
        <v>77</v>
      </c>
      <c r="H24" s="1275" t="s">
        <v>401</v>
      </c>
      <c r="I24" s="285"/>
      <c r="J24" s="285"/>
      <c r="K24" s="1279"/>
      <c r="L24" s="285"/>
      <c r="M24" s="285"/>
      <c r="N24" s="285"/>
      <c r="O24" s="285"/>
      <c r="P24" s="285"/>
      <c r="Q24" s="285"/>
      <c r="R24" s="1279"/>
      <c r="S24" s="1363"/>
      <c r="T24" s="285"/>
      <c r="U24" s="1276" t="s">
        <v>402</v>
      </c>
    </row>
    <row r="25" spans="1:21" s="29" customFormat="1" ht="18.75">
      <c r="A25" s="1290"/>
      <c r="B25" s="1290"/>
      <c r="C25" s="1290"/>
      <c r="D25" s="1290"/>
      <c r="E25" s="1370"/>
      <c r="F25" s="1373"/>
      <c r="G25" s="1338"/>
      <c r="H25" s="1284"/>
      <c r="I25" s="286"/>
      <c r="J25" s="286"/>
      <c r="K25" s="1280"/>
      <c r="L25" s="286"/>
      <c r="M25" s="286"/>
      <c r="N25" s="286"/>
      <c r="O25" s="286"/>
      <c r="P25" s="286"/>
      <c r="Q25" s="286"/>
      <c r="R25" s="1280"/>
      <c r="S25" s="1364"/>
      <c r="T25" s="286"/>
      <c r="U25" s="1277"/>
    </row>
    <row r="26" spans="1:21" s="29" customFormat="1" ht="18.75">
      <c r="A26" s="1290"/>
      <c r="B26" s="1290"/>
      <c r="C26" s="1290"/>
      <c r="D26" s="1290"/>
      <c r="E26" s="1370"/>
      <c r="F26" s="1373"/>
      <c r="G26" s="1338"/>
      <c r="H26" s="1284"/>
      <c r="I26" s="286"/>
      <c r="J26" s="286"/>
      <c r="K26" s="1280"/>
      <c r="L26" s="286"/>
      <c r="M26" s="286"/>
      <c r="N26" s="286"/>
      <c r="O26" s="286"/>
      <c r="P26" s="286"/>
      <c r="Q26" s="286"/>
      <c r="R26" s="1280"/>
      <c r="S26" s="1364"/>
      <c r="T26" s="286"/>
      <c r="U26" s="1277"/>
    </row>
    <row r="27" spans="1:21" s="29" customFormat="1" ht="18.75">
      <c r="A27" s="1290"/>
      <c r="B27" s="1290"/>
      <c r="C27" s="1290"/>
      <c r="D27" s="1290"/>
      <c r="E27" s="1371"/>
      <c r="F27" s="1374"/>
      <c r="G27" s="1365"/>
      <c r="H27" s="1375"/>
      <c r="I27" s="286"/>
      <c r="J27" s="286"/>
      <c r="K27" s="278"/>
      <c r="L27" s="286"/>
      <c r="M27" s="286"/>
      <c r="N27" s="286"/>
      <c r="O27" s="286"/>
      <c r="P27" s="286"/>
      <c r="Q27" s="286"/>
      <c r="R27" s="1280"/>
      <c r="S27" s="286"/>
      <c r="T27" s="286"/>
      <c r="U27" s="1277"/>
    </row>
    <row r="28" spans="1:21" s="29" customFormat="1" ht="18.75">
      <c r="A28" s="1291"/>
      <c r="B28" s="1291"/>
      <c r="C28" s="1291"/>
      <c r="D28" s="1291"/>
      <c r="E28" s="287" t="s">
        <v>4</v>
      </c>
      <c r="F28" s="280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9" customFormat="1" ht="33" customHeight="1">
      <c r="A29" s="1289" t="s">
        <v>422</v>
      </c>
      <c r="B29" s="1289" t="s">
        <v>423</v>
      </c>
      <c r="C29" s="1366" t="s">
        <v>424</v>
      </c>
      <c r="D29" s="1289" t="s">
        <v>425</v>
      </c>
      <c r="E29" s="1369" t="s">
        <v>407</v>
      </c>
      <c r="F29" s="1372">
        <v>3600</v>
      </c>
      <c r="G29" s="1337" t="s">
        <v>77</v>
      </c>
      <c r="H29" s="1275" t="s">
        <v>401</v>
      </c>
      <c r="I29" s="285"/>
      <c r="J29" s="285"/>
      <c r="K29" s="1279"/>
      <c r="L29" s="285"/>
      <c r="M29" s="285"/>
      <c r="N29" s="285"/>
      <c r="O29" s="285"/>
      <c r="P29" s="285"/>
      <c r="Q29" s="285"/>
      <c r="R29" s="1279"/>
      <c r="S29" s="1363">
        <v>3600</v>
      </c>
      <c r="T29" s="285"/>
      <c r="U29" s="1276" t="s">
        <v>402</v>
      </c>
    </row>
    <row r="30" spans="1:21" s="29" customFormat="1" ht="18.75">
      <c r="A30" s="1290"/>
      <c r="B30" s="1290"/>
      <c r="C30" s="1367"/>
      <c r="D30" s="1290"/>
      <c r="E30" s="1370"/>
      <c r="F30" s="1373"/>
      <c r="G30" s="1338"/>
      <c r="H30" s="1284"/>
      <c r="I30" s="286"/>
      <c r="J30" s="286"/>
      <c r="K30" s="1280"/>
      <c r="L30" s="286"/>
      <c r="M30" s="286"/>
      <c r="N30" s="286"/>
      <c r="O30" s="286"/>
      <c r="P30" s="286"/>
      <c r="Q30" s="286"/>
      <c r="R30" s="1280"/>
      <c r="S30" s="1364"/>
      <c r="T30" s="286"/>
      <c r="U30" s="1277"/>
    </row>
    <row r="31" spans="1:21" s="29" customFormat="1" ht="18" customHeight="1">
      <c r="A31" s="1290"/>
      <c r="B31" s="1290"/>
      <c r="C31" s="1367"/>
      <c r="D31" s="1290"/>
      <c r="E31" s="1370"/>
      <c r="F31" s="1373"/>
      <c r="G31" s="1338"/>
      <c r="H31" s="1284"/>
      <c r="I31" s="286"/>
      <c r="J31" s="286"/>
      <c r="K31" s="1280"/>
      <c r="L31" s="286"/>
      <c r="M31" s="286"/>
      <c r="N31" s="286"/>
      <c r="O31" s="286"/>
      <c r="P31" s="286"/>
      <c r="Q31" s="286"/>
      <c r="R31" s="1280"/>
      <c r="S31" s="1364"/>
      <c r="T31" s="286"/>
      <c r="U31" s="1277"/>
    </row>
    <row r="32" spans="1:21" s="29" customFormat="1" ht="18.75">
      <c r="A32" s="1290"/>
      <c r="B32" s="1290"/>
      <c r="C32" s="1367"/>
      <c r="D32" s="1290"/>
      <c r="E32" s="1371"/>
      <c r="F32" s="1374"/>
      <c r="G32" s="1365"/>
      <c r="H32" s="1375"/>
      <c r="I32" s="286"/>
      <c r="J32" s="286"/>
      <c r="K32" s="278"/>
      <c r="L32" s="286"/>
      <c r="M32" s="286"/>
      <c r="N32" s="286"/>
      <c r="O32" s="286"/>
      <c r="P32" s="286"/>
      <c r="Q32" s="286"/>
      <c r="R32" s="1280"/>
      <c r="S32" s="286"/>
      <c r="T32" s="286"/>
      <c r="U32" s="1277"/>
    </row>
    <row r="33" spans="1:21" s="29" customFormat="1" ht="18.75">
      <c r="A33" s="1291"/>
      <c r="B33" s="1291"/>
      <c r="C33" s="1368"/>
      <c r="D33" s="1291"/>
      <c r="E33" s="287" t="s">
        <v>4</v>
      </c>
      <c r="F33" s="280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9" customFormat="1" ht="33" customHeight="1">
      <c r="A34" s="1289" t="s">
        <v>563</v>
      </c>
      <c r="B34" s="1289" t="s">
        <v>426</v>
      </c>
      <c r="C34" s="1366" t="s">
        <v>427</v>
      </c>
      <c r="D34" s="1289" t="s">
        <v>428</v>
      </c>
      <c r="E34" s="1369" t="s">
        <v>429</v>
      </c>
      <c r="F34" s="1372">
        <v>16000</v>
      </c>
      <c r="G34" s="1337" t="s">
        <v>11</v>
      </c>
      <c r="H34" s="1283">
        <v>241852</v>
      </c>
      <c r="I34" s="285"/>
      <c r="J34" s="285"/>
      <c r="K34" s="1279"/>
      <c r="L34" s="285"/>
      <c r="M34" s="285"/>
      <c r="N34" s="1363">
        <v>49400</v>
      </c>
      <c r="O34" s="285"/>
      <c r="P34" s="285"/>
      <c r="Q34" s="285"/>
      <c r="R34" s="1279"/>
      <c r="S34" s="1363"/>
      <c r="T34" s="285"/>
      <c r="U34" s="1276" t="s">
        <v>430</v>
      </c>
    </row>
    <row r="35" spans="1:21" s="29" customFormat="1" ht="18.75">
      <c r="A35" s="1290"/>
      <c r="B35" s="1290"/>
      <c r="C35" s="1367"/>
      <c r="D35" s="1290"/>
      <c r="E35" s="1370"/>
      <c r="F35" s="1373"/>
      <c r="G35" s="1338"/>
      <c r="H35" s="1284"/>
      <c r="I35" s="286"/>
      <c r="J35" s="286"/>
      <c r="K35" s="1280"/>
      <c r="L35" s="286"/>
      <c r="M35" s="286"/>
      <c r="N35" s="1364"/>
      <c r="O35" s="286"/>
      <c r="P35" s="286"/>
      <c r="Q35" s="286"/>
      <c r="R35" s="1280"/>
      <c r="S35" s="1364"/>
      <c r="T35" s="286"/>
      <c r="U35" s="1277"/>
    </row>
    <row r="36" spans="1:21" s="29" customFormat="1" ht="18.75">
      <c r="A36" s="1290"/>
      <c r="B36" s="1290"/>
      <c r="C36" s="1367"/>
      <c r="D36" s="1290"/>
      <c r="E36" s="1370"/>
      <c r="F36" s="1373"/>
      <c r="G36" s="1338"/>
      <c r="H36" s="1284"/>
      <c r="I36" s="286"/>
      <c r="J36" s="286"/>
      <c r="K36" s="1280"/>
      <c r="L36" s="286"/>
      <c r="M36" s="286"/>
      <c r="N36" s="1364"/>
      <c r="O36" s="286"/>
      <c r="P36" s="286"/>
      <c r="Q36" s="286"/>
      <c r="R36" s="1280"/>
      <c r="S36" s="1364"/>
      <c r="T36" s="286"/>
      <c r="U36" s="1277"/>
    </row>
    <row r="37" spans="1:21" s="29" customFormat="1" ht="18.75">
      <c r="A37" s="1290"/>
      <c r="B37" s="1290"/>
      <c r="C37" s="1367"/>
      <c r="D37" s="1290"/>
      <c r="E37" s="1371"/>
      <c r="F37" s="1374"/>
      <c r="G37" s="1365"/>
      <c r="H37" s="1376"/>
      <c r="I37" s="286"/>
      <c r="J37" s="286"/>
      <c r="K37" s="278"/>
      <c r="L37" s="286"/>
      <c r="M37" s="286"/>
      <c r="N37" s="286"/>
      <c r="O37" s="286"/>
      <c r="P37" s="286"/>
      <c r="Q37" s="286"/>
      <c r="R37" s="1280"/>
      <c r="S37" s="286"/>
      <c r="T37" s="286"/>
      <c r="U37" s="1277"/>
    </row>
    <row r="38" spans="1:21" s="29" customFormat="1" ht="56.25">
      <c r="A38" s="1290"/>
      <c r="B38" s="1290"/>
      <c r="C38" s="1367"/>
      <c r="D38" s="1290"/>
      <c r="E38" s="494" t="s">
        <v>431</v>
      </c>
      <c r="F38" s="296">
        <v>8000</v>
      </c>
      <c r="G38" s="495" t="s">
        <v>11</v>
      </c>
      <c r="H38" s="1376"/>
      <c r="I38" s="286"/>
      <c r="J38" s="286"/>
      <c r="K38" s="278"/>
      <c r="L38" s="286"/>
      <c r="M38" s="286"/>
      <c r="N38" s="286"/>
      <c r="O38" s="286"/>
      <c r="P38" s="286"/>
      <c r="Q38" s="286"/>
      <c r="R38" s="278"/>
      <c r="S38" s="286"/>
      <c r="T38" s="286"/>
      <c r="U38" s="276"/>
    </row>
    <row r="39" spans="1:21" s="29" customFormat="1" ht="56.25">
      <c r="A39" s="1290"/>
      <c r="B39" s="1290"/>
      <c r="C39" s="1367"/>
      <c r="D39" s="1290"/>
      <c r="E39" s="494" t="s">
        <v>432</v>
      </c>
      <c r="F39" s="296">
        <v>7200</v>
      </c>
      <c r="G39" s="495" t="s">
        <v>11</v>
      </c>
      <c r="H39" s="1376"/>
      <c r="I39" s="286"/>
      <c r="J39" s="286"/>
      <c r="K39" s="278"/>
      <c r="L39" s="286"/>
      <c r="M39" s="286"/>
      <c r="N39" s="286"/>
      <c r="O39" s="286"/>
      <c r="P39" s="286"/>
      <c r="Q39" s="286"/>
      <c r="R39" s="278"/>
      <c r="S39" s="286"/>
      <c r="T39" s="286"/>
      <c r="U39" s="276"/>
    </row>
    <row r="40" spans="1:21" s="29" customFormat="1" ht="27" customHeight="1">
      <c r="A40" s="1290"/>
      <c r="B40" s="1290"/>
      <c r="C40" s="1367"/>
      <c r="D40" s="1290"/>
      <c r="E40" s="494" t="s">
        <v>433</v>
      </c>
      <c r="F40" s="296">
        <v>1200</v>
      </c>
      <c r="G40" s="495" t="s">
        <v>11</v>
      </c>
      <c r="H40" s="1376"/>
      <c r="I40" s="286"/>
      <c r="J40" s="286"/>
      <c r="K40" s="278"/>
      <c r="L40" s="286"/>
      <c r="M40" s="286"/>
      <c r="N40" s="286"/>
      <c r="O40" s="286"/>
      <c r="P40" s="286"/>
      <c r="Q40" s="286"/>
      <c r="R40" s="278"/>
      <c r="S40" s="286"/>
      <c r="T40" s="286"/>
      <c r="U40" s="276"/>
    </row>
    <row r="41" spans="1:21" s="29" customFormat="1" ht="27" customHeight="1">
      <c r="A41" s="1290"/>
      <c r="B41" s="1290"/>
      <c r="C41" s="1367"/>
      <c r="D41" s="1290"/>
      <c r="E41" s="494" t="s">
        <v>434</v>
      </c>
      <c r="F41" s="296">
        <v>2000</v>
      </c>
      <c r="G41" s="495" t="s">
        <v>11</v>
      </c>
      <c r="H41" s="1376"/>
      <c r="I41" s="286"/>
      <c r="J41" s="286"/>
      <c r="K41" s="278"/>
      <c r="L41" s="286"/>
      <c r="M41" s="286"/>
      <c r="N41" s="286"/>
      <c r="O41" s="286"/>
      <c r="P41" s="286"/>
      <c r="Q41" s="286"/>
      <c r="R41" s="278"/>
      <c r="S41" s="286"/>
      <c r="T41" s="286"/>
      <c r="U41" s="276"/>
    </row>
    <row r="42" spans="1:21" s="29" customFormat="1" ht="56.25">
      <c r="A42" s="1290"/>
      <c r="B42" s="1290"/>
      <c r="C42" s="1367"/>
      <c r="D42" s="1290"/>
      <c r="E42" s="494" t="s">
        <v>435</v>
      </c>
      <c r="F42" s="296">
        <v>8000</v>
      </c>
      <c r="G42" s="495" t="s">
        <v>11</v>
      </c>
      <c r="H42" s="1376"/>
      <c r="I42" s="286"/>
      <c r="J42" s="286"/>
      <c r="K42" s="278"/>
      <c r="L42" s="286"/>
      <c r="M42" s="286"/>
      <c r="N42" s="286"/>
      <c r="O42" s="286"/>
      <c r="P42" s="286"/>
      <c r="Q42" s="286"/>
      <c r="R42" s="278"/>
      <c r="S42" s="286"/>
      <c r="T42" s="286"/>
      <c r="U42" s="276"/>
    </row>
    <row r="43" spans="1:21" s="29" customFormat="1" ht="38.25">
      <c r="A43" s="1290"/>
      <c r="B43" s="1290"/>
      <c r="C43" s="1367"/>
      <c r="D43" s="1290"/>
      <c r="E43" s="494" t="s">
        <v>436</v>
      </c>
      <c r="F43" s="296">
        <v>1000</v>
      </c>
      <c r="G43" s="495" t="s">
        <v>11</v>
      </c>
      <c r="H43" s="1376"/>
      <c r="I43" s="286"/>
      <c r="J43" s="286"/>
      <c r="K43" s="278"/>
      <c r="L43" s="286"/>
      <c r="M43" s="286"/>
      <c r="N43" s="286"/>
      <c r="O43" s="286"/>
      <c r="P43" s="286"/>
      <c r="Q43" s="286"/>
      <c r="R43" s="278"/>
      <c r="S43" s="286"/>
      <c r="T43" s="286"/>
      <c r="U43" s="276"/>
    </row>
    <row r="44" spans="1:21" s="29" customFormat="1" ht="38.25">
      <c r="A44" s="1290"/>
      <c r="B44" s="1290"/>
      <c r="C44" s="1367"/>
      <c r="D44" s="1290"/>
      <c r="E44" s="494" t="s">
        <v>437</v>
      </c>
      <c r="F44" s="296">
        <v>2000</v>
      </c>
      <c r="G44" s="495" t="s">
        <v>11</v>
      </c>
      <c r="H44" s="1376"/>
      <c r="I44" s="286"/>
      <c r="J44" s="286"/>
      <c r="K44" s="278"/>
      <c r="L44" s="286"/>
      <c r="M44" s="286"/>
      <c r="N44" s="286"/>
      <c r="O44" s="286"/>
      <c r="P44" s="286"/>
      <c r="Q44" s="286"/>
      <c r="R44" s="278"/>
      <c r="S44" s="286"/>
      <c r="T44" s="286"/>
      <c r="U44" s="276"/>
    </row>
    <row r="45" spans="1:21" s="29" customFormat="1" ht="38.25">
      <c r="A45" s="1290"/>
      <c r="B45" s="1290"/>
      <c r="C45" s="1367"/>
      <c r="D45" s="1290"/>
      <c r="E45" s="494" t="s">
        <v>438</v>
      </c>
      <c r="F45" s="296">
        <v>4000</v>
      </c>
      <c r="G45" s="495" t="s">
        <v>11</v>
      </c>
      <c r="H45" s="1376"/>
      <c r="I45" s="286"/>
      <c r="J45" s="286"/>
      <c r="K45" s="278"/>
      <c r="L45" s="286"/>
      <c r="M45" s="286"/>
      <c r="N45" s="286"/>
      <c r="O45" s="286"/>
      <c r="P45" s="286"/>
      <c r="Q45" s="286"/>
      <c r="R45" s="278"/>
      <c r="S45" s="286"/>
      <c r="T45" s="286"/>
      <c r="U45" s="276"/>
    </row>
    <row r="46" spans="1:21" s="29" customFormat="1" ht="38.25">
      <c r="A46" s="1291"/>
      <c r="B46" s="1291"/>
      <c r="C46" s="1368"/>
      <c r="D46" s="1291"/>
      <c r="E46" s="287" t="s">
        <v>4</v>
      </c>
      <c r="F46" s="280">
        <v>49400</v>
      </c>
      <c r="G46" s="495" t="s">
        <v>11</v>
      </c>
      <c r="H46" s="1377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9" customFormat="1" ht="33" customHeight="1">
      <c r="A47" s="1289" t="s">
        <v>1448</v>
      </c>
      <c r="B47" s="1289" t="s">
        <v>439</v>
      </c>
      <c r="C47" s="1366" t="s">
        <v>440</v>
      </c>
      <c r="D47" s="1289" t="s">
        <v>441</v>
      </c>
      <c r="E47" s="1369" t="s">
        <v>1449</v>
      </c>
      <c r="F47" s="1372">
        <v>1200</v>
      </c>
      <c r="G47" s="1337" t="s">
        <v>11</v>
      </c>
      <c r="H47" s="1275" t="s">
        <v>442</v>
      </c>
      <c r="I47" s="285"/>
      <c r="K47" s="285">
        <v>600</v>
      </c>
      <c r="L47" s="285"/>
      <c r="M47" s="285"/>
      <c r="N47" s="285"/>
      <c r="O47" s="285"/>
      <c r="P47" s="285"/>
      <c r="Q47" s="285">
        <v>600</v>
      </c>
      <c r="R47" s="1279"/>
      <c r="S47" s="1363"/>
      <c r="T47" s="285"/>
      <c r="U47" s="1276" t="s">
        <v>402</v>
      </c>
    </row>
    <row r="48" spans="1:21" s="29" customFormat="1" ht="39.75" customHeight="1">
      <c r="A48" s="1290"/>
      <c r="B48" s="1290"/>
      <c r="C48" s="1367"/>
      <c r="D48" s="1290"/>
      <c r="E48" s="1370"/>
      <c r="F48" s="1373"/>
      <c r="G48" s="1338"/>
      <c r="H48" s="1284"/>
      <c r="I48" s="286"/>
      <c r="J48" s="286"/>
      <c r="K48" s="278"/>
      <c r="L48" s="286"/>
      <c r="M48" s="286"/>
      <c r="N48" s="286"/>
      <c r="O48" s="286"/>
      <c r="P48" s="286"/>
      <c r="Q48" s="286"/>
      <c r="R48" s="1280"/>
      <c r="S48" s="1364"/>
      <c r="T48" s="286"/>
      <c r="U48" s="1277"/>
    </row>
    <row r="49" spans="1:21" s="29" customFormat="1" ht="18.75">
      <c r="A49" s="1290"/>
      <c r="B49" s="1290"/>
      <c r="C49" s="1367"/>
      <c r="D49" s="1290"/>
      <c r="E49" s="1370"/>
      <c r="F49" s="1373"/>
      <c r="G49" s="1338"/>
      <c r="H49" s="1284"/>
      <c r="I49" s="286"/>
      <c r="J49" s="286"/>
      <c r="K49" s="278"/>
      <c r="L49" s="286"/>
      <c r="M49" s="286"/>
      <c r="N49" s="286"/>
      <c r="O49" s="286"/>
      <c r="P49" s="286"/>
      <c r="Q49" s="286"/>
      <c r="R49" s="1280"/>
      <c r="S49" s="1364"/>
      <c r="T49" s="286"/>
      <c r="U49" s="1277"/>
    </row>
    <row r="50" spans="1:21" s="29" customFormat="1" ht="18.75">
      <c r="A50" s="1290"/>
      <c r="B50" s="1290"/>
      <c r="C50" s="1367"/>
      <c r="D50" s="1290"/>
      <c r="E50" s="1371"/>
      <c r="F50" s="1374"/>
      <c r="G50" s="1365"/>
      <c r="H50" s="1376"/>
      <c r="I50" s="286"/>
      <c r="J50" s="286"/>
      <c r="K50" s="278"/>
      <c r="L50" s="286"/>
      <c r="M50" s="286"/>
      <c r="N50" s="286"/>
      <c r="O50" s="286"/>
      <c r="P50" s="286"/>
      <c r="Q50" s="286"/>
      <c r="R50" s="1280"/>
      <c r="S50" s="286"/>
      <c r="T50" s="286"/>
      <c r="U50" s="1277"/>
    </row>
    <row r="51" spans="1:21" s="29" customFormat="1" ht="131.25">
      <c r="A51" s="1290"/>
      <c r="B51" s="1290"/>
      <c r="C51" s="1367"/>
      <c r="D51" s="1290"/>
      <c r="E51" s="494" t="s">
        <v>564</v>
      </c>
      <c r="F51" s="296">
        <v>15400</v>
      </c>
      <c r="G51" s="495" t="s">
        <v>11</v>
      </c>
      <c r="H51" s="1375"/>
      <c r="I51" s="286"/>
      <c r="J51" s="286"/>
      <c r="K51" s="278"/>
      <c r="L51" s="286"/>
      <c r="M51" s="286"/>
      <c r="N51" s="286"/>
      <c r="O51" s="286"/>
      <c r="P51" s="286"/>
      <c r="Q51" s="64">
        <v>15400</v>
      </c>
      <c r="R51" s="278"/>
      <c r="S51" s="286"/>
      <c r="T51" s="286"/>
      <c r="U51" s="276"/>
    </row>
    <row r="52" spans="1:21" s="29" customFormat="1" ht="35.25" customHeight="1">
      <c r="A52" s="1291"/>
      <c r="B52" s="1291"/>
      <c r="C52" s="1368"/>
      <c r="D52" s="1291"/>
      <c r="E52" s="287" t="s">
        <v>443</v>
      </c>
      <c r="F52" s="280">
        <v>16600</v>
      </c>
      <c r="G52" s="495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9" customFormat="1" ht="64.5">
      <c r="A53" s="491"/>
      <c r="B53" s="491"/>
      <c r="C53" s="491"/>
      <c r="D53" s="492"/>
      <c r="E53" s="290" t="s">
        <v>139</v>
      </c>
      <c r="F53" s="232">
        <v>79200</v>
      </c>
      <c r="G53" s="291"/>
      <c r="H53" s="291"/>
      <c r="I53" s="64">
        <f>SUM(I6:I18)</f>
        <v>0</v>
      </c>
      <c r="J53" s="64"/>
      <c r="K53" s="64">
        <v>600</v>
      </c>
      <c r="L53" s="64">
        <f>SUM(L6:L18)</f>
        <v>0</v>
      </c>
      <c r="M53" s="64">
        <f>SUM(M6:M18)</f>
        <v>0</v>
      </c>
      <c r="N53" s="64">
        <v>49400</v>
      </c>
      <c r="O53" s="64">
        <f>SUM(O6:O18)</f>
        <v>0</v>
      </c>
      <c r="P53" s="64">
        <f>SUM(P6:P18)</f>
        <v>0</v>
      </c>
      <c r="Q53" s="64">
        <v>16000</v>
      </c>
      <c r="R53" s="64">
        <f>SUM(R6:R18)</f>
        <v>0</v>
      </c>
      <c r="S53" s="64">
        <v>13200</v>
      </c>
      <c r="T53" s="64">
        <f>SUM(T6:T18)</f>
        <v>0</v>
      </c>
      <c r="U53" s="68"/>
    </row>
    <row r="55" spans="1:5" ht="24">
      <c r="A55" s="33" t="s">
        <v>140</v>
      </c>
      <c r="B55" s="1310" t="s">
        <v>141</v>
      </c>
      <c r="C55" s="1310"/>
      <c r="D55" s="1310"/>
      <c r="E55" s="1310"/>
    </row>
    <row r="56" spans="6:7" ht="15">
      <c r="F56" s="79">
        <f>F52+F46</f>
        <v>66000</v>
      </c>
      <c r="G56" t="s">
        <v>444</v>
      </c>
    </row>
    <row r="57" spans="6:7" ht="15">
      <c r="F57" s="79">
        <f>F13+F18+F33</f>
        <v>13200</v>
      </c>
      <c r="G57" t="s">
        <v>77</v>
      </c>
    </row>
    <row r="58" ht="15">
      <c r="F58" s="79"/>
    </row>
  </sheetData>
  <sheetProtection/>
  <mergeCells count="140">
    <mergeCell ref="R4:R5"/>
    <mergeCell ref="S4:S5"/>
    <mergeCell ref="T4:T5"/>
    <mergeCell ref="N4:N5"/>
    <mergeCell ref="O4:O5"/>
    <mergeCell ref="P4:P5"/>
    <mergeCell ref="Q4:Q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L4:L5"/>
    <mergeCell ref="M4:M5"/>
    <mergeCell ref="E4:E5"/>
    <mergeCell ref="F4:F5"/>
    <mergeCell ref="G4:G5"/>
    <mergeCell ref="I4:I5"/>
    <mergeCell ref="J4:J5"/>
    <mergeCell ref="K4:K5"/>
    <mergeCell ref="U10:U12"/>
    <mergeCell ref="O10:O12"/>
    <mergeCell ref="A6:A9"/>
    <mergeCell ref="B6:B9"/>
    <mergeCell ref="C6:C9"/>
    <mergeCell ref="D6:D9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F14:F17"/>
    <mergeCell ref="G14:G17"/>
    <mergeCell ref="H14:H17"/>
    <mergeCell ref="K14:K16"/>
    <mergeCell ref="P10:P12"/>
    <mergeCell ref="Q10:Q1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R24:R27"/>
    <mergeCell ref="S24:S26"/>
    <mergeCell ref="H34:H46"/>
    <mergeCell ref="K34:K36"/>
    <mergeCell ref="N34:N36"/>
    <mergeCell ref="R34:R37"/>
    <mergeCell ref="S34:S36"/>
    <mergeCell ref="H29:H32"/>
    <mergeCell ref="K29:K31"/>
    <mergeCell ref="F24:F27"/>
    <mergeCell ref="G24:G27"/>
    <mergeCell ref="H24:H27"/>
    <mergeCell ref="K24:K26"/>
    <mergeCell ref="B55:E55"/>
    <mergeCell ref="F34:F37"/>
    <mergeCell ref="G34:G37"/>
    <mergeCell ref="G47:G50"/>
    <mergeCell ref="H47:H51"/>
    <mergeCell ref="F47:F50"/>
    <mergeCell ref="U24:U27"/>
    <mergeCell ref="A29:A33"/>
    <mergeCell ref="B29:B33"/>
    <mergeCell ref="C29:C33"/>
    <mergeCell ref="D29:D33"/>
    <mergeCell ref="E29:E32"/>
    <mergeCell ref="F29:F32"/>
    <mergeCell ref="R29:R32"/>
    <mergeCell ref="S29:S31"/>
    <mergeCell ref="U29:U32"/>
    <mergeCell ref="R47:R50"/>
    <mergeCell ref="S47:S49"/>
    <mergeCell ref="U47:U50"/>
    <mergeCell ref="U34:U37"/>
    <mergeCell ref="G29:G32"/>
    <mergeCell ref="A47:A52"/>
    <mergeCell ref="B47:B52"/>
    <mergeCell ref="C47:C52"/>
    <mergeCell ref="D47:D52"/>
    <mergeCell ref="E47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  <rowBreaks count="2" manualBreakCount="2">
    <brk id="18" max="20" man="1"/>
    <brk id="3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ผามาศ</dc:creator>
  <cp:keywords/>
  <dc:description/>
  <cp:lastModifiedBy>user</cp:lastModifiedBy>
  <cp:lastPrinted>2023-11-28T03:59:49Z</cp:lastPrinted>
  <dcterms:created xsi:type="dcterms:W3CDTF">2018-09-23T07:08:04Z</dcterms:created>
  <dcterms:modified xsi:type="dcterms:W3CDTF">2023-12-01T09:49:05Z</dcterms:modified>
  <cp:category/>
  <cp:version/>
  <cp:contentType/>
  <cp:contentStatus/>
</cp:coreProperties>
</file>